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ainel" sheetId="2" state="visible" r:id="rId4"/>
    <sheet name="Listas" sheetId="3" state="visible" r:id="rId5"/>
    <sheet name="Alun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<sst xmlns="http://schemas.openxmlformats.org/spreadsheetml/2006/main" count="187" uniqueCount="141">
  <si>
    <t xml:space="preserve">Planilha de controle de mensalidades e inadimplência</t>
  </si>
  <si>
    <t xml:space="preserve">Para academias, escolas esportivas e estúdios · Fluxo BPO · Organização que gera resultado.</t>
  </si>
  <si>
    <t xml:space="preserve">1</t>
  </si>
  <si>
    <t xml:space="preserve">Na aba Listas, ajuste as modalidades do seu negócio (natação, lutas, pilates...).</t>
  </si>
  <si>
    <t xml:space="preserve">2</t>
  </si>
  <si>
    <t xml:space="preserve">Na aba Alunos, cadastre uma linha por aluno: modalidade, responsável, WhatsApp, valor da mensalidade, dia de vencimento, data de matrícula e status (Ativo ou Inativo).</t>
  </si>
  <si>
    <t xml:space="preserve">3</t>
  </si>
  <si>
    <t xml:space="preserve">Quando um aluno pagar, digite a data do pagamento na coluna do mês (ex.: 05/10/2026). Verde = pago em dia · laranja = pago com atraso · vermelho = vencido e não pago.</t>
  </si>
  <si>
    <t xml:space="preserve">4</t>
  </si>
  <si>
    <t xml:space="preserve">Quando um aluno sair, mude o status para Inativo. O histórico dele continua salvo.</t>
  </si>
  <si>
    <t xml:space="preserve">5</t>
  </si>
  <si>
    <t xml:space="preserve">Na aba Painel, escolha o ano e o mês. Você vê a receita prevista, o que entrou, quem está devendo e a inadimplência, além da lista de cobrança pronta com WhatsApp.</t>
  </si>
  <si>
    <t xml:space="preserve">6</t>
  </si>
  <si>
    <t xml:space="preserve">As linhas marcadas com (exemplo) mostram como preencher. Apague-as antes de começar.</t>
  </si>
  <si>
    <t xml:space="preserve">Legenda</t>
  </si>
  <si>
    <t xml:space="preserve">Amarelo: você preenche</t>
  </si>
  <si>
    <t xml:space="preserve">Cinza: cálculo automático, não editar</t>
  </si>
  <si>
    <t xml:space="preserve">Quer parar de controlar mensalidade em planilha?</t>
  </si>
  <si>
    <t xml:space="preserve">A Fluxo BPO cuida do contas a pagar, contas a receber e tesouraria do seu negócio e te entrega o mês fechado.</t>
  </si>
  <si>
    <t xml:space="preserve">Diagnóstico financeiro gratuito de 30 minutos: WhatsApp (21) 98179-6708 · comercial@fluxobpo.com.br · @fluxobpo.br</t>
  </si>
  <si>
    <t xml:space="preserve">Painel de mensalidades</t>
  </si>
  <si>
    <t xml:space="preserve">Escolha o ano e o mês. Tudo abaixo se atualiza sozinho.</t>
  </si>
  <si>
    <t xml:space="preserve">Ano</t>
  </si>
  <si>
    <t xml:space="preserve">Quer que a Fluxo cuide disso por você?</t>
  </si>
  <si>
    <t xml:space="preserve">Mês</t>
  </si>
  <si>
    <t xml:space="preserve">Outubro</t>
  </si>
  <si>
    <t xml:space="preserve">Diagnóstico financeiro gratuito · WhatsApp (21) 98179-6708 · @fluxobpo.br</t>
  </si>
  <si>
    <t xml:space="preserve">Nº do mês (automático)</t>
  </si>
  <si>
    <t xml:space="preserve">Resumo do mês</t>
  </si>
  <si>
    <t xml:space="preserve">Ano completo</t>
  </si>
  <si>
    <t xml:space="preserve">Indicador</t>
  </si>
  <si>
    <t xml:space="preserve">Valor</t>
  </si>
  <si>
    <t xml:space="preserve">Previsto</t>
  </si>
  <si>
    <t xml:space="preserve">Recebido</t>
  </si>
  <si>
    <t xml:space="preserve">Em aberto</t>
  </si>
  <si>
    <t xml:space="preserve">Alunos ativos</t>
  </si>
  <si>
    <t xml:space="preserve">Janeiro</t>
  </si>
  <si>
    <t xml:space="preserve">Receita prevista</t>
  </si>
  <si>
    <t xml:space="preserve">Fevereiro</t>
  </si>
  <si>
    <t xml:space="preserve">Março</t>
  </si>
  <si>
    <t xml:space="preserve">A vencer</t>
  </si>
  <si>
    <t xml:space="preserve">Abril</t>
  </si>
  <si>
    <t xml:space="preserve">Em atraso</t>
  </si>
  <si>
    <t xml:space="preserve">Maio</t>
  </si>
  <si>
    <t xml:space="preserve">Alunos em atraso</t>
  </si>
  <si>
    <t xml:space="preserve">Junho</t>
  </si>
  <si>
    <t xml:space="preserve">Inadimplência do mês</t>
  </si>
  <si>
    <t xml:space="preserve">Julho</t>
  </si>
  <si>
    <t xml:space="preserve">Pagamentos feitos com atraso</t>
  </si>
  <si>
    <t xml:space="preserve">Agosto</t>
  </si>
  <si>
    <t xml:space="preserve">Setembro</t>
  </si>
  <si>
    <t xml:space="preserve">Novembro</t>
  </si>
  <si>
    <t xml:space="preserve">Dezembro</t>
  </si>
  <si>
    <t xml:space="preserve">Previsto considera os alunos ativos hoje e a data de matrícula.</t>
  </si>
  <si>
    <t xml:space="preserve">Por modalidade no mês</t>
  </si>
  <si>
    <t xml:space="preserve">Modalidade</t>
  </si>
  <si>
    <t xml:space="preserve">Ativos</t>
  </si>
  <si>
    <t xml:space="preserve">Lista de cobrança do mês</t>
  </si>
  <si>
    <t xml:space="preserve">Quem está em atraso, em ordem de cadastro. Copie o WhatsApp e mande a cobrança.</t>
  </si>
  <si>
    <t xml:space="preserve">Aluno</t>
  </si>
  <si>
    <t xml:space="preserve">Responsável</t>
  </si>
  <si>
    <t xml:space="preserve">WhatsApp</t>
  </si>
  <si>
    <t xml:space="preserve">Dias em atraso</t>
  </si>
  <si>
    <t xml:space="preserve">Modalidades (edite à vontade)</t>
  </si>
  <si>
    <t xml:space="preserve">Meses</t>
  </si>
  <si>
    <t xml:space="preserve">Status</t>
  </si>
  <si>
    <t xml:space="preserve">Natação</t>
  </si>
  <si>
    <t xml:space="preserve">Ativo</t>
  </si>
  <si>
    <t xml:space="preserve">Lutas</t>
  </si>
  <si>
    <t xml:space="preserve">Inativo</t>
  </si>
  <si>
    <t xml:space="preserve">Pilates</t>
  </si>
  <si>
    <t xml:space="preserve">Funcional</t>
  </si>
  <si>
    <t xml:space="preserve">Dança</t>
  </si>
  <si>
    <t xml:space="preserve">Musculação</t>
  </si>
  <si>
    <t xml:space="preserve">Hidroginástica</t>
  </si>
  <si>
    <t xml:space="preserve">Outra</t>
  </si>
  <si>
    <t xml:space="preserve">Controle de mensalidades</t>
  </si>
  <si>
    <t xml:space="preserve">Uma linha por aluno. Nas colunas dos meses, digite a DATA em que a mensalidade foi paga. Colunas cinza são automáticas.</t>
  </si>
  <si>
    <t xml:space="preserve">Data do pagamento ↓</t>
  </si>
  <si>
    <t xml:space="preserve">Cálculo automático do mês escolhido no Painel · não editar</t>
  </si>
  <si>
    <t xml:space="preserve">Turma / horário</t>
  </si>
  <si>
    <t xml:space="preserve">Mensalidade</t>
  </si>
  <si>
    <t xml:space="preserve">Dia de venc.</t>
  </si>
  <si>
    <t xml:space="preserve">Matrícula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</si>
  <si>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</si>
  <si>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</si>
  <si>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</si>
  <si>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</si>
  <si>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</si>
  <si>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</si>
  <si>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</si>
  <si>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</si>
  <si>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</si>
  <si>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</si>
  <si>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</si>
  <si>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</si>
  <si>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Previsto no mês</t>
  </si>
  <si>
    <t xml:space="preserve">Vencimento</t>
  </si>
  <si>
    <t xml:space="preserve">Pago em</t>
  </si>
  <si>
    <t xml:space="preserve">Situação</t>
  </si>
  <si>
    <t xml:space="preserve">Ordem</t>
  </si>
  <si>
    <t xml:space="preserve">Ana Souza (exemplo)</t>
  </si>
  <si>
    <t xml:space="preserve">Seg/Qua 18h</t>
  </si>
  <si>
    <t xml:space="preserve">Ana Souza</t>
  </si>
  <si>
    <t xml:space="preserve">(21) 90000-0001</t>
  </si>
  <si>
    <t xml:space="preserve">Bruno Lima (exemplo)</t>
  </si>
  <si>
    <t xml:space="preserve">Ter/Qui 19h</t>
  </si>
  <si>
    <t xml:space="preserve">Bruno Lima</t>
  </si>
  <si>
    <t xml:space="preserve">(21) 90000-0002</t>
  </si>
  <si>
    <t xml:space="preserve">Carla Dias (exemplo)</t>
  </si>
  <si>
    <t xml:space="preserve">Sex 7h</t>
  </si>
  <si>
    <t xml:space="preserve">Carla Dias</t>
  </si>
  <si>
    <t xml:space="preserve">(21) 90000-0003</t>
  </si>
  <si>
    <t xml:space="preserve">Davi Rocha (exemplo)</t>
  </si>
  <si>
    <t xml:space="preserve">Infantil sáb 9h</t>
  </si>
  <si>
    <t xml:space="preserve">Paula Rocha (mãe)</t>
  </si>
  <si>
    <t xml:space="preserve">(21) 90000-0004</t>
  </si>
  <si>
    <t xml:space="preserve">Elisa Prado (exemplo)</t>
  </si>
  <si>
    <t xml:space="preserve">Seg 20h</t>
  </si>
  <si>
    <t xml:space="preserve">Elisa Prado</t>
  </si>
  <si>
    <t xml:space="preserve">(21) 90000-0005</t>
  </si>
  <si>
    <t xml:space="preserve">Felipe Matos (exemplo)</t>
  </si>
  <si>
    <t xml:space="preserve">Kids ter 17h</t>
  </si>
  <si>
    <t xml:space="preserve">Rita Matos (mãe)</t>
  </si>
  <si>
    <t xml:space="preserve">(21) 90000-0006</t>
  </si>
  <si>
    <t xml:space="preserve">Gabriela Nunes (exemplo)</t>
  </si>
  <si>
    <t xml:space="preserve">Seg/Qua/Sex 6h</t>
  </si>
  <si>
    <t xml:space="preserve">Gabriela Nunes</t>
  </si>
  <si>
    <t xml:space="preserve">(21) 90000-0007</t>
  </si>
  <si>
    <t xml:space="preserve">Henrique Alves (exemplo)</t>
  </si>
  <si>
    <t xml:space="preserve">Ter/Qui 8h</t>
  </si>
  <si>
    <t xml:space="preserve">Henrique Alves</t>
  </si>
  <si>
    <t xml:space="preserve">(21) 90000-0008</t>
  </si>
  <si>
    <t xml:space="preserve">Isabela Cruz (exemplo)</t>
  </si>
  <si>
    <t xml:space="preserve">Ter/Qui 12h</t>
  </si>
  <si>
    <t xml:space="preserve">Isabela Cruz</t>
  </si>
  <si>
    <t xml:space="preserve">(21) 90000-0009</t>
  </si>
  <si>
    <t xml:space="preserve">João Pedro Reis (exemplo)</t>
  </si>
  <si>
    <t xml:space="preserve">Infantil qua 16h</t>
  </si>
  <si>
    <t xml:space="preserve">Marcos Reis (pai)</t>
  </si>
  <si>
    <t xml:space="preserve">(21) 90000-0010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</si>
</sst>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"/>
    <numFmt numFmtId="167" formatCode="&quot;R$ &quot;#,##0.00;&quot;-R$ &quot;#,##0.00;\-"/>
    <numFmt numFmtId="168" formatCode="0.0%"/>
    <numFmt numFmtId="169" formatCode="dd/mm/yy"/>
    <numFmt numFmtId="170" formatCode="dd/mm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91919"/>
      <name val="Arial"/>
      <family val="0"/>
      <charset val="1"/>
    </font>
    <font>
      <sz val="10"/>
      <color rgb="FF737474"/>
      <name val="Arial"/>
      <family val="0"/>
      <charset val="1"/>
    </font>
    <font>
      <b val="true"/>
      <sz val="14"/>
      <color rgb="FF191919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FCFEFD"/>
      <name val="Arial"/>
      <family val="0"/>
      <charset val="1"/>
    </font>
    <font>
      <sz val="10"/>
      <color rgb="FFFCFEFD"/>
      <name val="Arial"/>
      <family val="0"/>
      <charset val="1"/>
    </font>
    <font>
      <b val="true"/>
      <u val="single"/>
      <sz val="10"/>
      <color rgb="FFFCFEFD"/>
      <name val="Arial"/>
      <family val="0"/>
      <charset val="1"/>
    </font>
    <font>
      <b val="true"/>
      <sz val="18"/>
      <color rgb="FF191919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191919"/>
      <name val="Arial"/>
      <family val="0"/>
      <charset val="1"/>
    </font>
    <font>
      <sz val="9"/>
      <color rgb="FF737474"/>
      <name val="Arial"/>
      <family val="0"/>
      <charset val="1"/>
    </font>
    <font>
      <sz val="8"/>
      <color rgb="FF737474"/>
      <name val="Arial"/>
      <family val="0"/>
      <charset val="1"/>
    </font>
    <font>
      <b val="true"/>
      <sz val="9"/>
      <color rgb="FFFCFEFD"/>
      <name val="Arial"/>
      <family val="0"/>
      <charset val="1"/>
    </font>
    <font>
      <b val="true"/>
      <sz val="11"/>
      <color rgb="FF8E2A23"/>
      <name val="Arial"/>
      <family val="0"/>
      <charset val="1"/>
    </font>
    <font>
      <i val="true"/>
      <sz val="8"/>
      <color rgb="FF737474"/>
      <name val="Arial"/>
      <family val="0"/>
      <charset val="1"/>
    </font>
    <font>
      <b val="true"/>
      <sz val="10"/>
      <color rgb="FF8E2A23"/>
      <name val="Arial"/>
      <family val="0"/>
      <charset val="1"/>
    </font>
    <font>
      <b val="true"/>
      <sz val="11"/>
      <color rgb="FFFCFEFD"/>
      <name val="Arial"/>
      <family val="0"/>
      <charset val="1"/>
    </font>
    <font>
      <b val="true"/>
      <sz val="9"/>
      <color rgb="FF191919"/>
      <name val="Arial"/>
      <family val="0"/>
      <charset val="1"/>
    </font>
    <font>
      <sz val="10"/>
      <color rgb="FF40424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C4"/>
      </patternFill>
    </fill>
    <fill>
      <patternFill patternType="solid">
        <fgColor rgb="FFEEF0EF"/>
        <bgColor rgb="FFD8EDE1"/>
      </patternFill>
    </fill>
    <fill>
      <patternFill patternType="solid">
        <fgColor rgb="FF191919"/>
        <bgColor rgb="FF000000"/>
      </patternFill>
    </fill>
    <fill>
      <patternFill patternType="solid">
        <fgColor rgb="FFB1B4B5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C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b val="1"/>
      </font>
      <fill>
        <patternFill>
          <bgColor rgb="FFFFF2CC"/>
        </patternFill>
      </fill>
    </dxf>
    <dxf>
      <font>
        <color rgb="FF8A4B0F"/>
      </font>
      <fill>
        <patternFill>
          <bgColor rgb="FFFCE4C4"/>
        </patternFill>
      </fill>
    </dxf>
    <dxf>
      <font>
        <color rgb="FF1F5A3D"/>
      </font>
      <fill>
        <patternFill>
          <bgColor rgb="FFD8EDE1"/>
        </patternFill>
      </fill>
    </dxf>
    <dxf>
      <fill>
        <patternFill>
          <bgColor rgb="FFF6D3D0"/>
        </patternFill>
      </fill>
    </dxf>
    <dxf>
      <font>
        <b val="1"/>
        <color rgb="FF8E2A23"/>
      </font>
      <fill>
        <patternFill>
          <bgColor rgb="FFF6D3D0"/>
        </patternFill>
      </fill>
    </dxf>
    <dxf>
      <font>
        <b val="1"/>
        <color rgb="FF8A4B0F"/>
      </font>
      <fill>
        <patternFill>
          <bgColor rgb="FFFCE4C4"/>
        </patternFill>
      </fill>
    </dxf>
    <dxf>
      <font>
        <b val="1"/>
        <color rgb="FF1F5A3D"/>
      </font>
      <fill>
        <patternFill>
          <bgColor rgb="FFD8EDE1"/>
        </patternFill>
      </fill>
    </dxf>
    <dxf>
      <font>
        <b val="1"/>
        <color rgb="FF404242"/>
      </font>
      <fill>
        <patternFill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4B5"/>
      <rgbColor rgb="FF737474"/>
      <rgbColor rgb="FF9999FF"/>
      <rgbColor rgb="FF8A4B0F"/>
      <rgbColor rgb="FFFFF2CC"/>
      <rgbColor rgb="FFEEF0EF"/>
      <rgbColor rgb="FF660066"/>
      <rgbColor rgb="FFFF8080"/>
      <rgbColor rgb="FF0066CC"/>
      <rgbColor rgb="FFD9DC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FEFD"/>
      <rgbColor rgb="FFD8EDE1"/>
      <rgbColor rgb="FFFCE4C4"/>
      <rgbColor rgb="FFE0E2E1"/>
      <rgbColor rgb="FFFF99CC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5A3D"/>
      <rgbColor rgb="FF339966"/>
      <rgbColor rgb="FF191919"/>
      <rgbColor rgb="FF333300"/>
      <rgbColor rgb="FF8E2A23"/>
      <rgbColor rgb="FF993366"/>
      <rgbColor rgb="FF333399"/>
      <rgbColor rgb="FF4042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.me/5521981796708?text=Ol&#225;!%20Vim%20pela%20planilha%20de%20mensalidades%20e%20quero%20o%20diagn&#243;stico%20gratuito.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a.me/5521981796708?text=Ol&#225;!%20Vim%20pela%20planilha%20de%20mensalidades%20e%20quero%20o%20diagn&#243;stico%20gratuito.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1919"/>
    <pageSetUpPr fitToPage="false"/>
  </sheetPr>
  <dimension ref="B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92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31.5" hidden="false" customHeight="true" outlineLevel="0" collapsed="false">
      <c r="B4" s="3" t="s">
        <v>2</v>
      </c>
      <c r="C4" s="4" t="s">
        <v>3</v>
      </c>
    </row>
    <row r="6" customFormat="false" ht="31.5" hidden="false" customHeight="true" outlineLevel="0" collapsed="false">
      <c r="B6" s="3" t="s">
        <v>4</v>
      </c>
      <c r="C6" s="4" t="s">
        <v>5</v>
      </c>
    </row>
    <row r="8" customFormat="false" ht="31.5" hidden="false" customHeight="true" outlineLevel="0" collapsed="false">
      <c r="B8" s="3" t="s">
        <v>6</v>
      </c>
      <c r="C8" s="4" t="s">
        <v>7</v>
      </c>
    </row>
    <row r="10" customFormat="false" ht="31.5" hidden="false" customHeight="true" outlineLevel="0" collapsed="false">
      <c r="B10" s="3" t="s">
        <v>8</v>
      </c>
      <c r="C10" s="4" t="s">
        <v>9</v>
      </c>
    </row>
    <row r="12" customFormat="false" ht="31.5" hidden="false" customHeight="true" outlineLevel="0" collapsed="false">
      <c r="B12" s="3" t="s">
        <v>10</v>
      </c>
      <c r="C12" s="4" t="s">
        <v>11</v>
      </c>
    </row>
    <row r="14" customFormat="false" ht="31.5" hidden="false" customHeight="true" outlineLevel="0" collapsed="false">
      <c r="B14" s="3" t="s">
        <v>12</v>
      </c>
      <c r="C14" s="4" t="s">
        <v>13</v>
      </c>
    </row>
    <row r="17" customFormat="false" ht="15" hidden="false" customHeight="false" outlineLevel="0" collapsed="false">
      <c r="B17" s="5" t="s">
        <v>14</v>
      </c>
    </row>
    <row r="18" customFormat="false" ht="15" hidden="false" customHeight="false" outlineLevel="0" collapsed="false">
      <c r="B18" s="6"/>
      <c r="C18" s="7" t="s">
        <v>15</v>
      </c>
    </row>
    <row r="19" customFormat="false" ht="15" hidden="false" customHeight="false" outlineLevel="0" collapsed="false">
      <c r="B19" s="8"/>
      <c r="C19" s="7" t="s">
        <v>16</v>
      </c>
    </row>
    <row r="21" customFormat="false" ht="15" hidden="false" customHeight="false" outlineLevel="0" collapsed="false">
      <c r="B21" s="9"/>
      <c r="C21" s="9"/>
    </row>
    <row r="22" customFormat="false" ht="16.15" hidden="false" customHeight="false" outlineLevel="0" collapsed="false">
      <c r="B22" s="10" t="s">
        <v>17</v>
      </c>
      <c r="C22" s="9"/>
    </row>
    <row r="23" customFormat="false" ht="15" hidden="false" customHeight="false" outlineLevel="0" collapsed="false">
      <c r="B23" s="11" t="s">
        <v>18</v>
      </c>
      <c r="C23" s="9"/>
    </row>
    <row r="24" customFormat="false" ht="15" hidden="false" customHeight="false" outlineLevel="0" collapsed="false">
      <c r="B24" s="12" t="s">
        <v>19</v>
      </c>
      <c r="C24" s="9"/>
    </row>
    <row r="25" customFormat="false" ht="15" hidden="false" customHeight="false" outlineLevel="0" collapsed="false">
      <c r="B25" s="9"/>
      <c r="C25" s="9"/>
    </row>
  </sheetData>
  <hyperlinks>
    <hyperlink ref="B24" r:id="rId1" display="Diagnóstico financeiro gratuito de 30 minutos: WhatsApp (21) 98179-6708 · comercial@fluxobpo.com.br · @fluxobpo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1919"/>
    <pageSetUpPr fitToPage="false"/>
  </sheetPr>
  <dimension ref="B1: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7" min="3" style="0" width="16"/>
    <col collapsed="false" customWidth="true" hidden="false" outlineLevel="0" max="8" min="8" style="0" width="12"/>
    <col collapsed="false" customWidth="true" hidden="false" outlineLevel="0" max="9" min="9" style="0" width="2"/>
  </cols>
  <sheetData>
    <row r="1" customFormat="false" ht="22.05" hidden="false" customHeight="false" outlineLevel="0" collapsed="false">
      <c r="B1" s="13" t="s">
        <v>20</v>
      </c>
    </row>
    <row r="2" customFormat="false" ht="15" hidden="false" customHeight="false" outlineLevel="0" collapsed="false">
      <c r="B2" s="2" t="s">
        <v>21</v>
      </c>
    </row>
    <row r="4" customFormat="false" ht="15" hidden="false" customHeight="false" outlineLevel="0" collapsed="false">
      <c r="B4" s="5" t="s">
        <v>22</v>
      </c>
      <c r="C4" s="14" t="n">
        <v>2026</v>
      </c>
      <c r="E4" s="15" t="s">
        <v>23</v>
      </c>
    </row>
    <row r="5" customFormat="false" ht="15" hidden="false" customHeight="false" outlineLevel="0" collapsed="false">
      <c r="B5" s="5" t="s">
        <v>24</v>
      </c>
      <c r="C5" s="14" t="s">
        <v>25</v>
      </c>
      <c r="E5" s="16" t="s">
        <v>26</v>
      </c>
    </row>
    <row r="6" customFormat="false" ht="15" hidden="false" customHeight="false" outlineLevel="0" collapsed="false">
      <c r="B6" s="17" t="s">
        <v>27</v>
      </c>
      <c r="C6" s="18" t="n">
        <f aca="false">MATCH(C5,Listas!$C$2:$C$13,0)</f>
        <v>10</v>
      </c>
    </row>
    <row r="8" customFormat="false" ht="15" hidden="false" customHeight="false" outlineLevel="0" collapsed="false">
      <c r="B8" s="15" t="s">
        <v>28</v>
      </c>
      <c r="E8" s="15" t="s">
        <v>29</v>
      </c>
    </row>
    <row r="9" customFormat="false" ht="19.5" hidden="false" customHeight="true" outlineLevel="0" collapsed="false">
      <c r="B9" s="19" t="s">
        <v>30</v>
      </c>
      <c r="C9" s="20" t="s">
        <v>31</v>
      </c>
      <c r="E9" s="21" t="s">
        <v>24</v>
      </c>
      <c r="F9" s="21" t="s">
        <v>32</v>
      </c>
      <c r="G9" s="21" t="s">
        <v>33</v>
      </c>
      <c r="H9" s="21" t="s">
        <v>34</v>
      </c>
    </row>
    <row r="10" customFormat="false" ht="15" hidden="false" customHeight="false" outlineLevel="0" collapsed="false">
      <c r="B10" s="22" t="s">
        <v>35</v>
      </c>
      <c r="C10" s="23" t="n">
        <f aca="false">COUNTIF(Alunos!$I$5:$I$204,"Ativo")</f>
        <v>10</v>
      </c>
      <c r="E10" s="22" t="s">
        <v>36</v>
      </c>
      <c r="F10" s="24" t="n">
        <f aca="false">SUMPRODUCT((Alunos!$I$5:$I$204="Ativo")*(((Alunos!$H$5:$H$204="")+(Alunos!$H$5:$H$204&lt;=EOMONTH(DATE($C$4,1,1),0)))&gt;0)*Alunos!$F$5:$F$204)</f>
        <v>1180</v>
      </c>
      <c r="G10" s="24" t="n">
        <f aca="false">SUMPRODUCT((Alunos!J$5:J$204&lt;&gt;"")*Alunos!$F$5:$F$204)</f>
        <v>1180</v>
      </c>
      <c r="H10" s="24" t="n">
        <f aca="true">IF(DATE($C$4,1,1)&gt;TODAY(),"",MAX(0,F10-G10))</f>
        <v>0</v>
      </c>
    </row>
    <row r="11" customFormat="false" ht="15" hidden="false" customHeight="false" outlineLevel="0" collapsed="false">
      <c r="B11" s="22" t="s">
        <v>37</v>
      </c>
      <c r="C11" s="25" t="n">
        <f aca="false">SUM(Alunos!$V$5:$V$204)</f>
        <v>2710</v>
      </c>
      <c r="E11" s="22" t="s">
        <v>38</v>
      </c>
      <c r="F11" s="24" t="n">
        <f aca="false">SUMPRODUCT((Alunos!$I$5:$I$204="Ativo")*(((Alunos!$H$5:$H$204="")+(Alunos!$H$5:$H$204&lt;=EOMONTH(DATE($C$4,2,1),0)))&gt;0)*Alunos!$F$5:$F$204)</f>
        <v>1820</v>
      </c>
      <c r="G11" s="24" t="n">
        <f aca="false">SUMPRODUCT((Alunos!K$5:K$204&lt;&gt;"")*Alunos!$F$5:$F$204)</f>
        <v>1820</v>
      </c>
      <c r="H11" s="24" t="n">
        <f aca="true">IF(DATE($C$4,2,1)&gt;TODAY(),"",MAX(0,F11-G11))</f>
        <v>0</v>
      </c>
    </row>
    <row r="12" customFormat="false" ht="15" hidden="false" customHeight="false" outlineLevel="0" collapsed="false">
      <c r="B12" s="22" t="s">
        <v>33</v>
      </c>
      <c r="C12" s="25" t="n">
        <f aca="false">SUMIF(Alunos!$Y$5:$Y$204,"Pago",Alunos!$V$5:$V$204)+SUMIF(Alunos!$Y$5:$Y$204,"Pago com atraso",Alunos!$V$5:$V$204)</f>
        <v>1470</v>
      </c>
      <c r="E12" s="22" t="s">
        <v>39</v>
      </c>
      <c r="F12" s="24" t="n">
        <f aca="false">SUMPRODUCT((Alunos!$I$5:$I$204="Ativo")*(((Alunos!$H$5:$H$204="")+(Alunos!$H$5:$H$204&lt;=EOMONTH(DATE($C$4,3,1),0)))&gt;0)*Alunos!$F$5:$F$204)</f>
        <v>2000</v>
      </c>
      <c r="G12" s="24" t="n">
        <f aca="false">SUMPRODUCT((Alunos!L$5:L$204&lt;&gt;"")*Alunos!$F$5:$F$204)</f>
        <v>2000</v>
      </c>
      <c r="H12" s="24" t="n">
        <f aca="true">IF(DATE($C$4,3,1)&gt;TODAY(),"",MAX(0,F12-G12))</f>
        <v>0</v>
      </c>
    </row>
    <row r="13" customFormat="false" ht="15" hidden="false" customHeight="false" outlineLevel="0" collapsed="false">
      <c r="B13" s="22" t="s">
        <v>40</v>
      </c>
      <c r="C13" s="25" t="n">
        <f aca="false">SUMIF(Alunos!$Y$5:$Y$204,"A vencer",Alunos!$V$5:$V$204)</f>
        <v>450</v>
      </c>
      <c r="E13" s="22" t="s">
        <v>41</v>
      </c>
      <c r="F13" s="24" t="n">
        <f aca="false">SUMPRODUCT((Alunos!$I$5:$I$204="Ativo")*(((Alunos!$H$5:$H$204="")+(Alunos!$H$5:$H$204&lt;=EOMONTH(DATE($C$4,4,1),0)))&gt;0)*Alunos!$F$5:$F$204)</f>
        <v>2320</v>
      </c>
      <c r="G13" s="24" t="n">
        <f aca="false">SUMPRODUCT((Alunos!M$5:M$204&lt;&gt;"")*Alunos!$F$5:$F$204)</f>
        <v>2320</v>
      </c>
      <c r="H13" s="24" t="n">
        <f aca="true">IF(DATE($C$4,4,1)&gt;TODAY(),"",MAX(0,F13-G13))</f>
        <v>0</v>
      </c>
    </row>
    <row r="14" customFormat="false" ht="15" hidden="false" customHeight="false" outlineLevel="0" collapsed="false">
      <c r="B14" s="22" t="s">
        <v>42</v>
      </c>
      <c r="C14" s="26" t="n">
        <f aca="false">SUMIF(Alunos!$Y$5:$Y$204,"Em atraso",Alunos!$V$5:$V$204)</f>
        <v>790</v>
      </c>
      <c r="E14" s="22" t="s">
        <v>43</v>
      </c>
      <c r="F14" s="24" t="n">
        <f aca="false">SUMPRODUCT((Alunos!$I$5:$I$204="Ativo")*(((Alunos!$H$5:$H$204="")+(Alunos!$H$5:$H$204&lt;=EOMONTH(DATE($C$4,5,1),0)))&gt;0)*Alunos!$F$5:$F$204)</f>
        <v>2320</v>
      </c>
      <c r="G14" s="24" t="n">
        <f aca="false">SUMPRODUCT((Alunos!N$5:N$204&lt;&gt;"")*Alunos!$F$5:$F$204)</f>
        <v>2320</v>
      </c>
      <c r="H14" s="24" t="n">
        <f aca="true">IF(DATE($C$4,5,1)&gt;TODAY(),"",MAX(0,F14-G14))</f>
        <v>0</v>
      </c>
    </row>
    <row r="15" customFormat="false" ht="15" hidden="false" customHeight="false" outlineLevel="0" collapsed="false">
      <c r="B15" s="22" t="s">
        <v>44</v>
      </c>
      <c r="C15" s="23" t="n">
        <f aca="false">COUNTIF(Alunos!$Y$5:$Y$204,"Em atraso")</f>
        <v>3</v>
      </c>
      <c r="E15" s="22" t="s">
        <v>45</v>
      </c>
      <c r="F15" s="24" t="n">
        <f aca="false">SUMPRODUCT((Alunos!$I$5:$I$204="Ativo")*(((Alunos!$H$5:$H$204="")+(Alunos!$H$5:$H$204&lt;=EOMONTH(DATE($C$4,6,1),0)))&gt;0)*Alunos!$F$5:$F$204)</f>
        <v>2710</v>
      </c>
      <c r="G15" s="24" t="n">
        <f aca="false">SUMPRODUCT((Alunos!O$5:O$204&lt;&gt;"")*Alunos!$F$5:$F$204)</f>
        <v>2710</v>
      </c>
      <c r="H15" s="24" t="n">
        <f aca="true">IF(DATE($C$4,6,1)&gt;TODAY(),"",MAX(0,F15-G15))</f>
        <v>0</v>
      </c>
    </row>
    <row r="16" customFormat="false" ht="15" hidden="false" customHeight="false" outlineLevel="0" collapsed="false">
      <c r="B16" s="22" t="s">
        <v>46</v>
      </c>
      <c r="C16" s="27" t="n">
        <f aca="false">IF(C11=0,0,C14/C11)</f>
        <v>0.291512915129151</v>
      </c>
      <c r="E16" s="22" t="s">
        <v>47</v>
      </c>
      <c r="F16" s="24" t="n">
        <f aca="false">SUMPRODUCT((Alunos!$I$5:$I$204="Ativo")*(((Alunos!$H$5:$H$204="")+(Alunos!$H$5:$H$204&lt;=EOMONTH(DATE($C$4,7,1),0)))&gt;0)*Alunos!$F$5:$F$204)</f>
        <v>2710</v>
      </c>
      <c r="G16" s="24" t="n">
        <f aca="false">SUMPRODUCT((Alunos!P$5:P$204&lt;&gt;"")*Alunos!$F$5:$F$204)</f>
        <v>2710</v>
      </c>
      <c r="H16" s="24" t="n">
        <f aca="true">IF(DATE($C$4,7,1)&gt;TODAY(),"",MAX(0,F16-G16))</f>
        <v>0</v>
      </c>
    </row>
    <row r="17" customFormat="false" ht="15" hidden="false" customHeight="false" outlineLevel="0" collapsed="false">
      <c r="B17" s="22" t="s">
        <v>48</v>
      </c>
      <c r="C17" s="23" t="n">
        <f aca="false">COUNTIF(Alunos!$Y$5:$Y$204,"Pago com atraso")</f>
        <v>0</v>
      </c>
      <c r="E17" s="22" t="s">
        <v>49</v>
      </c>
      <c r="F17" s="24" t="n">
        <f aca="false">SUMPRODUCT((Alunos!$I$5:$I$204="Ativo")*(((Alunos!$H$5:$H$204="")+(Alunos!$H$5:$H$204&lt;=EOMONTH(DATE($C$4,8,1),0)))&gt;0)*Alunos!$F$5:$F$204)</f>
        <v>2710</v>
      </c>
      <c r="G17" s="24" t="n">
        <f aca="false">SUMPRODUCT((Alunos!Q$5:Q$204&lt;&gt;"")*Alunos!$F$5:$F$204)</f>
        <v>2710</v>
      </c>
      <c r="H17" s="24" t="n">
        <f aca="true">IF(DATE($C$4,8,1)&gt;TODAY(),"",MAX(0,F17-G17))</f>
        <v>0</v>
      </c>
    </row>
    <row r="18" customFormat="false" ht="15" hidden="false" customHeight="false" outlineLevel="0" collapsed="false">
      <c r="E18" s="22" t="s">
        <v>50</v>
      </c>
      <c r="F18" s="24" t="n">
        <f aca="false">SUMPRODUCT((Alunos!$I$5:$I$204="Ativo")*(((Alunos!$H$5:$H$204="")+(Alunos!$H$5:$H$204&lt;=EOMONTH(DATE($C$4,9,1),0)))&gt;0)*Alunos!$F$5:$F$204)</f>
        <v>2710</v>
      </c>
      <c r="G18" s="24" t="n">
        <f aca="false">SUMPRODUCT((Alunos!R$5:R$204&lt;&gt;"")*Alunos!$F$5:$F$204)</f>
        <v>2710</v>
      </c>
      <c r="H18" s="24" t="n">
        <f aca="true">IF(DATE($C$4,9,1)&gt;TODAY(),"",MAX(0,F18-G18))</f>
        <v>0</v>
      </c>
    </row>
    <row r="19" customFormat="false" ht="15" hidden="false" customHeight="false" outlineLevel="0" collapsed="false">
      <c r="E19" s="22" t="s">
        <v>25</v>
      </c>
      <c r="F19" s="24" t="n">
        <f aca="false">SUMPRODUCT((Alunos!$I$5:$I$204="Ativo")*(((Alunos!$H$5:$H$204="")+(Alunos!$H$5:$H$204&lt;=EOMONTH(DATE($C$4,10,1),0)))&gt;0)*Alunos!$F$5:$F$204)</f>
        <v>2710</v>
      </c>
      <c r="G19" s="24" t="n">
        <f aca="false">SUMPRODUCT((Alunos!S$5:S$204&lt;&gt;"")*Alunos!$F$5:$F$204)</f>
        <v>1470</v>
      </c>
      <c r="H19" s="24" t="n">
        <f aca="true">IF(DATE($C$4,10,1)&gt;TODAY(),"",MAX(0,F19-G19))</f>
        <v>1240</v>
      </c>
    </row>
    <row r="20" customFormat="false" ht="15" hidden="false" customHeight="false" outlineLevel="0" collapsed="false">
      <c r="E20" s="22" t="s">
        <v>51</v>
      </c>
      <c r="F20" s="24" t="n">
        <f aca="false">SUMPRODUCT((Alunos!$I$5:$I$204="Ativo")*(((Alunos!$H$5:$H$204="")+(Alunos!$H$5:$H$204&lt;=EOMONTH(DATE($C$4,11,1),0)))&gt;0)*Alunos!$F$5:$F$204)</f>
        <v>2710</v>
      </c>
      <c r="G20" s="24" t="n">
        <f aca="false">SUMPRODUCT((Alunos!T$5:T$204&lt;&gt;"")*Alunos!$F$5:$F$204)</f>
        <v>0</v>
      </c>
      <c r="H20" s="24" t="str">
        <f aca="true">IF(DATE($C$4,11,1)&gt;TODAY(),"",MAX(0,F20-G20))</f>
        <v/>
      </c>
    </row>
    <row r="21" customFormat="false" ht="15" hidden="false" customHeight="false" outlineLevel="0" collapsed="false">
      <c r="E21" s="22" t="s">
        <v>52</v>
      </c>
      <c r="F21" s="24" t="n">
        <f aca="false">SUMPRODUCT((Alunos!$I$5:$I$204="Ativo")*(((Alunos!$H$5:$H$204="")+(Alunos!$H$5:$H$204&lt;=EOMONTH(DATE($C$4,12,1),0)))&gt;0)*Alunos!$F$5:$F$204)</f>
        <v>2710</v>
      </c>
      <c r="G21" s="24" t="n">
        <f aca="false">SUMPRODUCT((Alunos!U$5:U$204&lt;&gt;"")*Alunos!$F$5:$F$204)</f>
        <v>0</v>
      </c>
      <c r="H21" s="24" t="str">
        <f aca="true">IF(DATE($C$4,12,1)&gt;TODAY(),"",MAX(0,F21-G21))</f>
        <v/>
      </c>
    </row>
    <row r="22" customFormat="false" ht="15" hidden="false" customHeight="false" outlineLevel="0" collapsed="false">
      <c r="E22" s="28" t="s">
        <v>53</v>
      </c>
    </row>
    <row r="24" customFormat="false" ht="15" hidden="false" customHeight="false" outlineLevel="0" collapsed="false">
      <c r="B24" s="15" t="s">
        <v>54</v>
      </c>
    </row>
    <row r="25" customFormat="false" ht="19.5" hidden="false" customHeight="true" outlineLevel="0" collapsed="false">
      <c r="B25" s="19" t="s">
        <v>55</v>
      </c>
      <c r="C25" s="20" t="s">
        <v>56</v>
      </c>
      <c r="D25" s="20" t="s">
        <v>32</v>
      </c>
      <c r="E25" s="20" t="s">
        <v>33</v>
      </c>
      <c r="F25" s="20" t="s">
        <v>42</v>
      </c>
    </row>
    <row r="26" customFormat="false" ht="15" hidden="false" customHeight="false" outlineLevel="0" collapsed="false">
      <c r="B26" s="22" t="str">
        <f aca="false">IF(Listas!$A$2="","",Listas!$A$2)</f>
        <v>Natação</v>
      </c>
      <c r="C26" s="29" t="n">
        <f aca="false">IF(B26="","",COUNTIFS(Alunos!$B$5:$B$204,B26,Alunos!$I$5:$I$204,"Ativo"))</f>
        <v>3</v>
      </c>
      <c r="D26" s="24" t="n">
        <f aca="false">IF(B26="","",SUMIF(Alunos!$B$5:$B$204,B26,Alunos!$V$5:$V$204))</f>
        <v>780</v>
      </c>
      <c r="E26" s="24" t="n">
        <f aca="false">IF(B26="","",SUMIFS(Alunos!$V$5:$V$204,Alunos!$B$5:$B$204,B26,Alunos!$Y$5:$Y$204,"Pago")+SUMIFS(Alunos!$V$5:$V$204,Alunos!$B$5:$B$204,B26,Alunos!$Y$5:$Y$204,"Pago com atraso"))</f>
        <v>280</v>
      </c>
      <c r="F26" s="24" t="n">
        <f aca="false">IF(B26="","",SUMIFS(Alunos!$V$5:$V$204,Alunos!$B$5:$B$204,B26,Alunos!$Y$5:$Y$204,"Em atraso"))</f>
        <v>250</v>
      </c>
    </row>
    <row r="27" customFormat="false" ht="15" hidden="false" customHeight="false" outlineLevel="0" collapsed="false">
      <c r="B27" s="22" t="str">
        <f aca="false">IF(Listas!$A$3="","",Listas!$A$3)</f>
        <v>Lutas</v>
      </c>
      <c r="C27" s="29" t="n">
        <f aca="false">IF(B27="","",COUNTIFS(Alunos!$B$5:$B$204,B27,Alunos!$I$5:$I$204,"Ativo"))</f>
        <v>2</v>
      </c>
      <c r="D27" s="24" t="n">
        <f aca="false">IF(B27="","",SUMIF(Alunos!$B$5:$B$204,B27,Alunos!$V$5:$V$204))</f>
        <v>420</v>
      </c>
      <c r="E27" s="24" t="n">
        <f aca="false">IF(B27="","",SUMIFS(Alunos!$V$5:$V$204,Alunos!$B$5:$B$204,B27,Alunos!$Y$5:$Y$204,"Pago")+SUMIFS(Alunos!$V$5:$V$204,Alunos!$B$5:$B$204,B27,Alunos!$Y$5:$Y$204,"Pago com atraso"))</f>
        <v>0</v>
      </c>
      <c r="F27" s="24" t="n">
        <f aca="false">IF(B27="","",SUMIFS(Alunos!$V$5:$V$204,Alunos!$B$5:$B$204,B27,Alunos!$Y$5:$Y$204,"Em atraso"))</f>
        <v>220</v>
      </c>
    </row>
    <row r="28" customFormat="false" ht="15" hidden="false" customHeight="false" outlineLevel="0" collapsed="false">
      <c r="B28" s="22" t="str">
        <f aca="false">IF(Listas!$A$4="","",Listas!$A$4)</f>
        <v>Pilates</v>
      </c>
      <c r="C28" s="29" t="n">
        <f aca="false">IF(B28="","",COUNTIFS(Alunos!$B$5:$B$204,B28,Alunos!$I$5:$I$204,"Ativo"))</f>
        <v>2</v>
      </c>
      <c r="D28" s="24" t="n">
        <f aca="false">IF(B28="","",SUMIF(Alunos!$B$5:$B$204,B28,Alunos!$V$5:$V$204))</f>
        <v>780</v>
      </c>
      <c r="E28" s="24" t="n">
        <f aca="false">IF(B28="","",SUMIFS(Alunos!$V$5:$V$204,Alunos!$B$5:$B$204,B28,Alunos!$Y$5:$Y$204,"Pago")+SUMIFS(Alunos!$V$5:$V$204,Alunos!$B$5:$B$204,B28,Alunos!$Y$5:$Y$204,"Pago com atraso"))</f>
        <v>780</v>
      </c>
      <c r="F28" s="24" t="n">
        <f aca="false">IF(B28="","",SUMIFS(Alunos!$V$5:$V$204,Alunos!$B$5:$B$204,B28,Alunos!$Y$5:$Y$204,"Em atraso"))</f>
        <v>0</v>
      </c>
    </row>
    <row r="29" customFormat="false" ht="15" hidden="false" customHeight="false" outlineLevel="0" collapsed="false">
      <c r="B29" s="22" t="str">
        <f aca="false">IF(Listas!$A$5="","",Listas!$A$5)</f>
        <v>Funcional</v>
      </c>
      <c r="C29" s="29" t="n">
        <f aca="false">IF(B29="","",COUNTIFS(Alunos!$B$5:$B$204,B29,Alunos!$I$5:$I$204,"Ativo"))</f>
        <v>1</v>
      </c>
      <c r="D29" s="24" t="n">
        <f aca="false">IF(B29="","",SUMIF(Alunos!$B$5:$B$204,B29,Alunos!$V$5:$V$204))</f>
        <v>320</v>
      </c>
      <c r="E29" s="24" t="n">
        <f aca="false">IF(B29="","",SUMIFS(Alunos!$V$5:$V$204,Alunos!$B$5:$B$204,B29,Alunos!$Y$5:$Y$204,"Pago")+SUMIFS(Alunos!$V$5:$V$204,Alunos!$B$5:$B$204,B29,Alunos!$Y$5:$Y$204,"Pago com atraso"))</f>
        <v>0</v>
      </c>
      <c r="F29" s="24" t="n">
        <f aca="false">IF(B29="","",SUMIFS(Alunos!$V$5:$V$204,Alunos!$B$5:$B$204,B29,Alunos!$Y$5:$Y$204,"Em atraso"))</f>
        <v>320</v>
      </c>
    </row>
    <row r="30" customFormat="false" ht="15" hidden="false" customHeight="false" outlineLevel="0" collapsed="false">
      <c r="B30" s="22" t="str">
        <f aca="false">IF(Listas!$A$6="","",Listas!$A$6)</f>
        <v>Dança</v>
      </c>
      <c r="C30" s="29" t="n">
        <f aca="false">IF(B30="","",COUNTIFS(Alunos!$B$5:$B$204,B30,Alunos!$I$5:$I$204,"Ativo"))</f>
        <v>1</v>
      </c>
      <c r="D30" s="24" t="n">
        <f aca="false">IF(B30="","",SUMIF(Alunos!$B$5:$B$204,B30,Alunos!$V$5:$V$204))</f>
        <v>180</v>
      </c>
      <c r="E30" s="24" t="n">
        <f aca="false">IF(B30="","",SUMIFS(Alunos!$V$5:$V$204,Alunos!$B$5:$B$204,B30,Alunos!$Y$5:$Y$204,"Pago")+SUMIFS(Alunos!$V$5:$V$204,Alunos!$B$5:$B$204,B30,Alunos!$Y$5:$Y$204,"Pago com atraso"))</f>
        <v>180</v>
      </c>
      <c r="F30" s="24" t="n">
        <f aca="false">IF(B30="","",SUMIFS(Alunos!$V$5:$V$204,Alunos!$B$5:$B$204,B30,Alunos!$Y$5:$Y$204,"Em atraso"))</f>
        <v>0</v>
      </c>
    </row>
    <row r="31" customFormat="false" ht="15" hidden="false" customHeight="false" outlineLevel="0" collapsed="false">
      <c r="B31" s="22" t="str">
        <f aca="false">IF(Listas!$A$7="","",Listas!$A$7)</f>
        <v>Musculação</v>
      </c>
      <c r="C31" s="29" t="n">
        <f aca="false">IF(B31="","",COUNTIFS(Alunos!$B$5:$B$204,B31,Alunos!$I$5:$I$204,"Ativo"))</f>
        <v>0</v>
      </c>
      <c r="D31" s="24" t="n">
        <f aca="false">IF(B31="","",SUMIF(Alunos!$B$5:$B$204,B31,Alunos!$V$5:$V$204))</f>
        <v>0</v>
      </c>
      <c r="E31" s="24" t="n">
        <f aca="false">IF(B31="","",SUMIFS(Alunos!$V$5:$V$204,Alunos!$B$5:$B$204,B31,Alunos!$Y$5:$Y$204,"Pago")+SUMIFS(Alunos!$V$5:$V$204,Alunos!$B$5:$B$204,B31,Alunos!$Y$5:$Y$204,"Pago com atraso"))</f>
        <v>0</v>
      </c>
      <c r="F31" s="24" t="n">
        <f aca="false">IF(B31="","",SUMIFS(Alunos!$V$5:$V$204,Alunos!$B$5:$B$204,B31,Alunos!$Y$5:$Y$204,"Em atraso"))</f>
        <v>0</v>
      </c>
    </row>
    <row r="32" customFormat="false" ht="15" hidden="false" customHeight="false" outlineLevel="0" collapsed="false">
      <c r="B32" s="22" t="str">
        <f aca="false">IF(Listas!$A$8="","",Listas!$A$8)</f>
        <v>Hidroginástica</v>
      </c>
      <c r="C32" s="29" t="n">
        <f aca="false">IF(B32="","",COUNTIFS(Alunos!$B$5:$B$204,B32,Alunos!$I$5:$I$204,"Ativo"))</f>
        <v>1</v>
      </c>
      <c r="D32" s="24" t="n">
        <f aca="false">IF(B32="","",SUMIF(Alunos!$B$5:$B$204,B32,Alunos!$V$5:$V$204))</f>
        <v>230</v>
      </c>
      <c r="E32" s="24" t="n">
        <f aca="false">IF(B32="","",SUMIFS(Alunos!$V$5:$V$204,Alunos!$B$5:$B$204,B32,Alunos!$Y$5:$Y$204,"Pago")+SUMIFS(Alunos!$V$5:$V$204,Alunos!$B$5:$B$204,B32,Alunos!$Y$5:$Y$204,"Pago com atraso"))</f>
        <v>230</v>
      </c>
      <c r="F32" s="24" t="n">
        <f aca="false">IF(B32="","",SUMIFS(Alunos!$V$5:$V$204,Alunos!$B$5:$B$204,B32,Alunos!$Y$5:$Y$204,"Em atraso"))</f>
        <v>0</v>
      </c>
    </row>
    <row r="33" customFormat="false" ht="15" hidden="false" customHeight="false" outlineLevel="0" collapsed="false">
      <c r="B33" s="22" t="str">
        <f aca="false">IF(Listas!$A$9="","",Listas!$A$9)</f>
        <v>Outra</v>
      </c>
      <c r="C33" s="29" t="n">
        <f aca="false">IF(B33="","",COUNTIFS(Alunos!$B$5:$B$204,B33,Alunos!$I$5:$I$204,"Ativo"))</f>
        <v>0</v>
      </c>
      <c r="D33" s="24" t="n">
        <f aca="false">IF(B33="","",SUMIF(Alunos!$B$5:$B$204,B33,Alunos!$V$5:$V$204))</f>
        <v>0</v>
      </c>
      <c r="E33" s="24" t="n">
        <f aca="false">IF(B33="","",SUMIFS(Alunos!$V$5:$V$204,Alunos!$B$5:$B$204,B33,Alunos!$Y$5:$Y$204,"Pago")+SUMIFS(Alunos!$V$5:$V$204,Alunos!$B$5:$B$204,B33,Alunos!$Y$5:$Y$204,"Pago com atraso"))</f>
        <v>0</v>
      </c>
      <c r="F33" s="24" t="n">
        <f aca="false">IF(B33="","",SUMIFS(Alunos!$V$5:$V$204,Alunos!$B$5:$B$204,B33,Alunos!$Y$5:$Y$204,"Em atraso"))</f>
        <v>0</v>
      </c>
    </row>
    <row r="34" customFormat="false" ht="15" hidden="false" customHeight="false" outlineLevel="0" collapsed="false">
      <c r="B34" s="22" t="str">
        <f aca="false">IF(Listas!$A$10="","",Listas!$A$10)</f>
        <v/>
      </c>
      <c r="C34" s="29" t="str">
        <f aca="false">IF(B34="","",COUNTIFS(Alunos!$B$5:$B$204,B34,Alunos!$I$5:$I$204,"Ativo"))</f>
        <v/>
      </c>
      <c r="D34" s="24" t="str">
        <f aca="false">IF(B34="","",SUMIF(Alunos!$B$5:$B$204,B34,Alunos!$V$5:$V$204))</f>
        <v/>
      </c>
      <c r="E34" s="24" t="str">
        <f aca="false">IF(B34="","",SUMIFS(Alunos!$V$5:$V$204,Alunos!$B$5:$B$204,B34,Alunos!$Y$5:$Y$204,"Pago")+SUMIFS(Alunos!$V$5:$V$204,Alunos!$B$5:$B$204,B34,Alunos!$Y$5:$Y$204,"Pago com atraso"))</f>
        <v/>
      </c>
      <c r="F34" s="24" t="str">
        <f aca="false">IF(B34="","",SUMIFS(Alunos!$V$5:$V$204,Alunos!$B$5:$B$204,B34,Alunos!$Y$5:$Y$204,"Em atraso"))</f>
        <v/>
      </c>
    </row>
    <row r="35" customFormat="false" ht="15" hidden="false" customHeight="false" outlineLevel="0" collapsed="false">
      <c r="B35" s="22" t="str">
        <f aca="false">IF(Listas!$A$11="","",Listas!$A$11)</f>
        <v/>
      </c>
      <c r="C35" s="29" t="str">
        <f aca="false">IF(B35="","",COUNTIFS(Alunos!$B$5:$B$204,B35,Alunos!$I$5:$I$204,"Ativo"))</f>
        <v/>
      </c>
      <c r="D35" s="24" t="str">
        <f aca="false">IF(B35="","",SUMIF(Alunos!$B$5:$B$204,B35,Alunos!$V$5:$V$204))</f>
        <v/>
      </c>
      <c r="E35" s="24" t="str">
        <f aca="false">IF(B35="","",SUMIFS(Alunos!$V$5:$V$204,Alunos!$B$5:$B$204,B35,Alunos!$Y$5:$Y$204,"Pago")+SUMIFS(Alunos!$V$5:$V$204,Alunos!$B$5:$B$204,B35,Alunos!$Y$5:$Y$204,"Pago com atraso"))</f>
        <v/>
      </c>
      <c r="F35" s="24" t="str">
        <f aca="false">IF(B35="","",SUMIFS(Alunos!$V$5:$V$204,Alunos!$B$5:$B$204,B35,Alunos!$Y$5:$Y$204,"Em atraso"))</f>
        <v/>
      </c>
    </row>
    <row r="37" customFormat="false" ht="15" hidden="false" customHeight="false" outlineLevel="0" collapsed="false">
      <c r="B37" s="15" t="s">
        <v>57</v>
      </c>
    </row>
    <row r="38" customFormat="false" ht="15" hidden="false" customHeight="false" outlineLevel="0" collapsed="false">
      <c r="B38" s="16" t="s">
        <v>58</v>
      </c>
    </row>
    <row r="39" customFormat="false" ht="19.5" hidden="false" customHeight="true" outlineLevel="0" collapsed="false">
      <c r="B39" s="19" t="s">
        <v>59</v>
      </c>
      <c r="C39" s="20" t="s">
        <v>55</v>
      </c>
      <c r="D39" s="20" t="s">
        <v>60</v>
      </c>
      <c r="E39" s="20" t="s">
        <v>61</v>
      </c>
      <c r="F39" s="20" t="s">
        <v>31</v>
      </c>
      <c r="G39" s="20" t="s">
        <v>62</v>
      </c>
    </row>
    <row r="40" customFormat="false" ht="15" hidden="false" customHeight="false" outlineLevel="0" collapsed="false">
      <c r="B40" s="22" t="str">
        <f aca="false">IFERROR(INDEX(Alunos!$A$5:$A$204,MATCH(1,Alunos!$AA$5:$AA$204,0)),"")</f>
        <v>Bruno Lima (exemplo)</v>
      </c>
      <c r="C40" s="29" t="str">
        <f aca="false">IFERROR(INDEX(Alunos!$B$5:$B$204,MATCH(1,Alunos!$AA$5:$AA$204,0)),"")</f>
        <v>Lutas</v>
      </c>
      <c r="D40" s="29" t="str">
        <f aca="false">IFERROR(INDEX(Alunos!$D$5:$D$204,MATCH(1,Alunos!$AA$5:$AA$204,0)),"")</f>
        <v>Bruno Lima</v>
      </c>
      <c r="E40" s="29" t="str">
        <f aca="false">IFERROR(INDEX(Alunos!$E$5:$E$204,MATCH(1,Alunos!$AA$5:$AA$204,0)),"")</f>
        <v>(21) 90000-0002</v>
      </c>
      <c r="F40" s="24" t="n">
        <f aca="false">IFERROR(INDEX(Alunos!$V$5:$V$204,MATCH(1,Alunos!$AA$5:$AA$204,0)),"")</f>
        <v>220</v>
      </c>
      <c r="G40" s="30" t="n">
        <f aca="false">IFERROR(INDEX(Alunos!$Z$5:$Z$204,MATCH(1,Alunos!$AA$5:$AA$204,0)),"")</f>
        <v>4</v>
      </c>
    </row>
    <row r="41" customFormat="false" ht="15" hidden="false" customHeight="false" outlineLevel="0" collapsed="false">
      <c r="B41" s="22" t="str">
        <f aca="false">IFERROR(INDEX(Alunos!$A$5:$A$204,MATCH(2,Alunos!$AA$5:$AA$204,0)),"")</f>
        <v>Davi Rocha (exemplo)</v>
      </c>
      <c r="C41" s="29" t="str">
        <f aca="false">IFERROR(INDEX(Alunos!$B$5:$B$204,MATCH(2,Alunos!$AA$5:$AA$204,0)),"")</f>
        <v>Natação</v>
      </c>
      <c r="D41" s="29" t="str">
        <f aca="false">IFERROR(INDEX(Alunos!$D$5:$D$204,MATCH(2,Alunos!$AA$5:$AA$204,0)),"")</f>
        <v>Paula Rocha (mãe)</v>
      </c>
      <c r="E41" s="29" t="str">
        <f aca="false">IFERROR(INDEX(Alunos!$E$5:$E$204,MATCH(2,Alunos!$AA$5:$AA$204,0)),"")</f>
        <v>(21) 90000-0004</v>
      </c>
      <c r="F41" s="24" t="n">
        <f aca="false">IFERROR(INDEX(Alunos!$V$5:$V$204,MATCH(2,Alunos!$AA$5:$AA$204,0)),"")</f>
        <v>250</v>
      </c>
      <c r="G41" s="30" t="n">
        <f aca="false">IFERROR(INDEX(Alunos!$Z$5:$Z$204,MATCH(2,Alunos!$AA$5:$AA$204,0)),"")</f>
        <v>9</v>
      </c>
    </row>
    <row r="42" customFormat="false" ht="15" hidden="false" customHeight="false" outlineLevel="0" collapsed="false">
      <c r="B42" s="22" t="str">
        <f aca="false">IFERROR(INDEX(Alunos!$A$5:$A$204,MATCH(3,Alunos!$AA$5:$AA$204,0)),"")</f>
        <v>Gabriela Nunes (exemplo)</v>
      </c>
      <c r="C42" s="29" t="str">
        <f aca="false">IFERROR(INDEX(Alunos!$B$5:$B$204,MATCH(3,Alunos!$AA$5:$AA$204,0)),"")</f>
        <v>Funcional</v>
      </c>
      <c r="D42" s="29" t="str">
        <f aca="false">IFERROR(INDEX(Alunos!$D$5:$D$204,MATCH(3,Alunos!$AA$5:$AA$204,0)),"")</f>
        <v>Gabriela Nunes</v>
      </c>
      <c r="E42" s="29" t="str">
        <f aca="false">IFERROR(INDEX(Alunos!$E$5:$E$204,MATCH(3,Alunos!$AA$5:$AA$204,0)),"")</f>
        <v>(21) 90000-0007</v>
      </c>
      <c r="F42" s="24" t="n">
        <f aca="false">IFERROR(INDEX(Alunos!$V$5:$V$204,MATCH(3,Alunos!$AA$5:$AA$204,0)),"")</f>
        <v>320</v>
      </c>
      <c r="G42" s="30" t="n">
        <f aca="false">IFERROR(INDEX(Alunos!$Z$5:$Z$204,MATCH(3,Alunos!$AA$5:$AA$204,0)),"")</f>
        <v>9</v>
      </c>
    </row>
    <row r="43" customFormat="false" ht="15" hidden="false" customHeight="false" outlineLevel="0" collapsed="false">
      <c r="B43" s="22" t="str">
        <f aca="false">IFERROR(INDEX(Alunos!$A$5:$A$204,MATCH(4,Alunos!$AA$5:$AA$204,0)),"")</f>
        <v/>
      </c>
      <c r="C43" s="29" t="str">
        <f aca="false">IFERROR(INDEX(Alunos!$B$5:$B$204,MATCH(4,Alunos!$AA$5:$AA$204,0)),"")</f>
        <v/>
      </c>
      <c r="D43" s="29" t="str">
        <f aca="false">IFERROR(INDEX(Alunos!$D$5:$D$204,MATCH(4,Alunos!$AA$5:$AA$204,0)),"")</f>
        <v/>
      </c>
      <c r="E43" s="29" t="str">
        <f aca="false">IFERROR(INDEX(Alunos!$E$5:$E$204,MATCH(4,Alunos!$AA$5:$AA$204,0)),"")</f>
        <v/>
      </c>
      <c r="F43" s="24" t="str">
        <f aca="false">IFERROR(INDEX(Alunos!$V$5:$V$204,MATCH(4,Alunos!$AA$5:$AA$204,0)),"")</f>
        <v/>
      </c>
      <c r="G43" s="31" t="str">
        <f aca="false">IFERROR(INDEX(Alunos!$Z$5:$Z$204,MATCH(4,Alunos!$AA$5:$AA$204,0)),"")</f>
        <v/>
      </c>
    </row>
    <row r="44" customFormat="false" ht="15" hidden="false" customHeight="false" outlineLevel="0" collapsed="false">
      <c r="B44" s="22" t="str">
        <f aca="false">IFERROR(INDEX(Alunos!$A$5:$A$204,MATCH(5,Alunos!$AA$5:$AA$204,0)),"")</f>
        <v/>
      </c>
      <c r="C44" s="29" t="str">
        <f aca="false">IFERROR(INDEX(Alunos!$B$5:$B$204,MATCH(5,Alunos!$AA$5:$AA$204,0)),"")</f>
        <v/>
      </c>
      <c r="D44" s="29" t="str">
        <f aca="false">IFERROR(INDEX(Alunos!$D$5:$D$204,MATCH(5,Alunos!$AA$5:$AA$204,0)),"")</f>
        <v/>
      </c>
      <c r="E44" s="29" t="str">
        <f aca="false">IFERROR(INDEX(Alunos!$E$5:$E$204,MATCH(5,Alunos!$AA$5:$AA$204,0)),"")</f>
        <v/>
      </c>
      <c r="F44" s="24" t="str">
        <f aca="false">IFERROR(INDEX(Alunos!$V$5:$V$204,MATCH(5,Alunos!$AA$5:$AA$204,0)),"")</f>
        <v/>
      </c>
      <c r="G44" s="31" t="str">
        <f aca="false">IFERROR(INDEX(Alunos!$Z$5:$Z$204,MATCH(5,Alunos!$AA$5:$AA$204,0)),"")</f>
        <v/>
      </c>
    </row>
    <row r="45" customFormat="false" ht="15" hidden="false" customHeight="false" outlineLevel="0" collapsed="false">
      <c r="B45" s="22" t="str">
        <f aca="false">IFERROR(INDEX(Alunos!$A$5:$A$204,MATCH(6,Alunos!$AA$5:$AA$204,0)),"")</f>
        <v/>
      </c>
      <c r="C45" s="29" t="str">
        <f aca="false">IFERROR(INDEX(Alunos!$B$5:$B$204,MATCH(6,Alunos!$AA$5:$AA$204,0)),"")</f>
        <v/>
      </c>
      <c r="D45" s="29" t="str">
        <f aca="false">IFERROR(INDEX(Alunos!$D$5:$D$204,MATCH(6,Alunos!$AA$5:$AA$204,0)),"")</f>
        <v/>
      </c>
      <c r="E45" s="29" t="str">
        <f aca="false">IFERROR(INDEX(Alunos!$E$5:$E$204,MATCH(6,Alunos!$AA$5:$AA$204,0)),"")</f>
        <v/>
      </c>
      <c r="F45" s="24" t="str">
        <f aca="false">IFERROR(INDEX(Alunos!$V$5:$V$204,MATCH(6,Alunos!$AA$5:$AA$204,0)),"")</f>
        <v/>
      </c>
      <c r="G45" s="31" t="str">
        <f aca="false">IFERROR(INDEX(Alunos!$Z$5:$Z$204,MATCH(6,Alunos!$AA$5:$AA$204,0)),"")</f>
        <v/>
      </c>
    </row>
    <row r="46" customFormat="false" ht="15" hidden="false" customHeight="false" outlineLevel="0" collapsed="false">
      <c r="B46" s="22" t="str">
        <f aca="false">IFERROR(INDEX(Alunos!$A$5:$A$204,MATCH(7,Alunos!$AA$5:$AA$204,0)),"")</f>
        <v/>
      </c>
      <c r="C46" s="29" t="str">
        <f aca="false">IFERROR(INDEX(Alunos!$B$5:$B$204,MATCH(7,Alunos!$AA$5:$AA$204,0)),"")</f>
        <v/>
      </c>
      <c r="D46" s="29" t="str">
        <f aca="false">IFERROR(INDEX(Alunos!$D$5:$D$204,MATCH(7,Alunos!$AA$5:$AA$204,0)),"")</f>
        <v/>
      </c>
      <c r="E46" s="29" t="str">
        <f aca="false">IFERROR(INDEX(Alunos!$E$5:$E$204,MATCH(7,Alunos!$AA$5:$AA$204,0)),"")</f>
        <v/>
      </c>
      <c r="F46" s="24" t="str">
        <f aca="false">IFERROR(INDEX(Alunos!$V$5:$V$204,MATCH(7,Alunos!$AA$5:$AA$204,0)),"")</f>
        <v/>
      </c>
      <c r="G46" s="31" t="str">
        <f aca="false">IFERROR(INDEX(Alunos!$Z$5:$Z$204,MATCH(7,Alunos!$AA$5:$AA$204,0)),"")</f>
        <v/>
      </c>
    </row>
    <row r="47" customFormat="false" ht="15" hidden="false" customHeight="false" outlineLevel="0" collapsed="false">
      <c r="B47" s="22" t="str">
        <f aca="false">IFERROR(INDEX(Alunos!$A$5:$A$204,MATCH(8,Alunos!$AA$5:$AA$204,0)),"")</f>
        <v/>
      </c>
      <c r="C47" s="29" t="str">
        <f aca="false">IFERROR(INDEX(Alunos!$B$5:$B$204,MATCH(8,Alunos!$AA$5:$AA$204,0)),"")</f>
        <v/>
      </c>
      <c r="D47" s="29" t="str">
        <f aca="false">IFERROR(INDEX(Alunos!$D$5:$D$204,MATCH(8,Alunos!$AA$5:$AA$204,0)),"")</f>
        <v/>
      </c>
      <c r="E47" s="29" t="str">
        <f aca="false">IFERROR(INDEX(Alunos!$E$5:$E$204,MATCH(8,Alunos!$AA$5:$AA$204,0)),"")</f>
        <v/>
      </c>
      <c r="F47" s="24" t="str">
        <f aca="false">IFERROR(INDEX(Alunos!$V$5:$V$204,MATCH(8,Alunos!$AA$5:$AA$204,0)),"")</f>
        <v/>
      </c>
      <c r="G47" s="31" t="str">
        <f aca="false">IFERROR(INDEX(Alunos!$Z$5:$Z$204,MATCH(8,Alunos!$AA$5:$AA$204,0)),"")</f>
        <v/>
      </c>
    </row>
    <row r="48" customFormat="false" ht="15" hidden="false" customHeight="false" outlineLevel="0" collapsed="false">
      <c r="B48" s="22" t="str">
        <f aca="false">IFERROR(INDEX(Alunos!$A$5:$A$204,MATCH(9,Alunos!$AA$5:$AA$204,0)),"")</f>
        <v/>
      </c>
      <c r="C48" s="29" t="str">
        <f aca="false">IFERROR(INDEX(Alunos!$B$5:$B$204,MATCH(9,Alunos!$AA$5:$AA$204,0)),"")</f>
        <v/>
      </c>
      <c r="D48" s="29" t="str">
        <f aca="false">IFERROR(INDEX(Alunos!$D$5:$D$204,MATCH(9,Alunos!$AA$5:$AA$204,0)),"")</f>
        <v/>
      </c>
      <c r="E48" s="29" t="str">
        <f aca="false">IFERROR(INDEX(Alunos!$E$5:$E$204,MATCH(9,Alunos!$AA$5:$AA$204,0)),"")</f>
        <v/>
      </c>
      <c r="F48" s="24" t="str">
        <f aca="false">IFERROR(INDEX(Alunos!$V$5:$V$204,MATCH(9,Alunos!$AA$5:$AA$204,0)),"")</f>
        <v/>
      </c>
      <c r="G48" s="31" t="str">
        <f aca="false">IFERROR(INDEX(Alunos!$Z$5:$Z$204,MATCH(9,Alunos!$AA$5:$AA$204,0)),"")</f>
        <v/>
      </c>
    </row>
    <row r="49" customFormat="false" ht="15" hidden="false" customHeight="false" outlineLevel="0" collapsed="false">
      <c r="B49" s="22" t="str">
        <f aca="false">IFERROR(INDEX(Alunos!$A$5:$A$204,MATCH(10,Alunos!$AA$5:$AA$204,0)),"")</f>
        <v/>
      </c>
      <c r="C49" s="29" t="str">
        <f aca="false">IFERROR(INDEX(Alunos!$B$5:$B$204,MATCH(10,Alunos!$AA$5:$AA$204,0)),"")</f>
        <v/>
      </c>
      <c r="D49" s="29" t="str">
        <f aca="false">IFERROR(INDEX(Alunos!$D$5:$D$204,MATCH(10,Alunos!$AA$5:$AA$204,0)),"")</f>
        <v/>
      </c>
      <c r="E49" s="29" t="str">
        <f aca="false">IFERROR(INDEX(Alunos!$E$5:$E$204,MATCH(10,Alunos!$AA$5:$AA$204,0)),"")</f>
        <v/>
      </c>
      <c r="F49" s="24" t="str">
        <f aca="false">IFERROR(INDEX(Alunos!$V$5:$V$204,MATCH(10,Alunos!$AA$5:$AA$204,0)),"")</f>
        <v/>
      </c>
      <c r="G49" s="31" t="str">
        <f aca="false">IFERROR(INDEX(Alunos!$Z$5:$Z$204,MATCH(10,Alunos!$AA$5:$AA$204,0)),"")</f>
        <v/>
      </c>
    </row>
    <row r="50" customFormat="false" ht="15" hidden="false" customHeight="false" outlineLevel="0" collapsed="false">
      <c r="B50" s="22" t="str">
        <f aca="false">IFERROR(INDEX(Alunos!$A$5:$A$204,MATCH(11,Alunos!$AA$5:$AA$204,0)),"")</f>
        <v/>
      </c>
      <c r="C50" s="29" t="str">
        <f aca="false">IFERROR(INDEX(Alunos!$B$5:$B$204,MATCH(11,Alunos!$AA$5:$AA$204,0)),"")</f>
        <v/>
      </c>
      <c r="D50" s="29" t="str">
        <f aca="false">IFERROR(INDEX(Alunos!$D$5:$D$204,MATCH(11,Alunos!$AA$5:$AA$204,0)),"")</f>
        <v/>
      </c>
      <c r="E50" s="29" t="str">
        <f aca="false">IFERROR(INDEX(Alunos!$E$5:$E$204,MATCH(11,Alunos!$AA$5:$AA$204,0)),"")</f>
        <v/>
      </c>
      <c r="F50" s="24" t="str">
        <f aca="false">IFERROR(INDEX(Alunos!$V$5:$V$204,MATCH(11,Alunos!$AA$5:$AA$204,0)),"")</f>
        <v/>
      </c>
      <c r="G50" s="31" t="str">
        <f aca="false">IFERROR(INDEX(Alunos!$Z$5:$Z$204,MATCH(11,Alunos!$AA$5:$AA$204,0)),"")</f>
        <v/>
      </c>
    </row>
    <row r="51" customFormat="false" ht="15" hidden="false" customHeight="false" outlineLevel="0" collapsed="false">
      <c r="B51" s="22" t="str">
        <f aca="false">IFERROR(INDEX(Alunos!$A$5:$A$204,MATCH(12,Alunos!$AA$5:$AA$204,0)),"")</f>
        <v/>
      </c>
      <c r="C51" s="29" t="str">
        <f aca="false">IFERROR(INDEX(Alunos!$B$5:$B$204,MATCH(12,Alunos!$AA$5:$AA$204,0)),"")</f>
        <v/>
      </c>
      <c r="D51" s="29" t="str">
        <f aca="false">IFERROR(INDEX(Alunos!$D$5:$D$204,MATCH(12,Alunos!$AA$5:$AA$204,0)),"")</f>
        <v/>
      </c>
      <c r="E51" s="29" t="str">
        <f aca="false">IFERROR(INDEX(Alunos!$E$5:$E$204,MATCH(12,Alunos!$AA$5:$AA$204,0)),"")</f>
        <v/>
      </c>
      <c r="F51" s="24" t="str">
        <f aca="false">IFERROR(INDEX(Alunos!$V$5:$V$204,MATCH(12,Alunos!$AA$5:$AA$204,0)),"")</f>
        <v/>
      </c>
      <c r="G51" s="31" t="str">
        <f aca="false">IFERROR(INDEX(Alunos!$Z$5:$Z$204,MATCH(12,Alunos!$AA$5:$AA$204,0)),"")</f>
        <v/>
      </c>
    </row>
    <row r="52" customFormat="false" ht="15" hidden="false" customHeight="false" outlineLevel="0" collapsed="false">
      <c r="B52" s="22" t="str">
        <f aca="false">IFERROR(INDEX(Alunos!$A$5:$A$204,MATCH(13,Alunos!$AA$5:$AA$204,0)),"")</f>
        <v/>
      </c>
      <c r="C52" s="29" t="str">
        <f aca="false">IFERROR(INDEX(Alunos!$B$5:$B$204,MATCH(13,Alunos!$AA$5:$AA$204,0)),"")</f>
        <v/>
      </c>
      <c r="D52" s="29" t="str">
        <f aca="false">IFERROR(INDEX(Alunos!$D$5:$D$204,MATCH(13,Alunos!$AA$5:$AA$204,0)),"")</f>
        <v/>
      </c>
      <c r="E52" s="29" t="str">
        <f aca="false">IFERROR(INDEX(Alunos!$E$5:$E$204,MATCH(13,Alunos!$AA$5:$AA$204,0)),"")</f>
        <v/>
      </c>
      <c r="F52" s="24" t="str">
        <f aca="false">IFERROR(INDEX(Alunos!$V$5:$V$204,MATCH(13,Alunos!$AA$5:$AA$204,0)),"")</f>
        <v/>
      </c>
      <c r="G52" s="31" t="str">
        <f aca="false">IFERROR(INDEX(Alunos!$Z$5:$Z$204,MATCH(13,Alunos!$AA$5:$AA$204,0)),"")</f>
        <v/>
      </c>
    </row>
    <row r="53" customFormat="false" ht="15" hidden="false" customHeight="false" outlineLevel="0" collapsed="false">
      <c r="B53" s="22" t="str">
        <f aca="false">IFERROR(INDEX(Alunos!$A$5:$A$204,MATCH(14,Alunos!$AA$5:$AA$204,0)),"")</f>
        <v/>
      </c>
      <c r="C53" s="29" t="str">
        <f aca="false">IFERROR(INDEX(Alunos!$B$5:$B$204,MATCH(14,Alunos!$AA$5:$AA$204,0)),"")</f>
        <v/>
      </c>
      <c r="D53" s="29" t="str">
        <f aca="false">IFERROR(INDEX(Alunos!$D$5:$D$204,MATCH(14,Alunos!$AA$5:$AA$204,0)),"")</f>
        <v/>
      </c>
      <c r="E53" s="29" t="str">
        <f aca="false">IFERROR(INDEX(Alunos!$E$5:$E$204,MATCH(14,Alunos!$AA$5:$AA$204,0)),"")</f>
        <v/>
      </c>
      <c r="F53" s="24" t="str">
        <f aca="false">IFERROR(INDEX(Alunos!$V$5:$V$204,MATCH(14,Alunos!$AA$5:$AA$204,0)),"")</f>
        <v/>
      </c>
      <c r="G53" s="31" t="str">
        <f aca="false">IFERROR(INDEX(Alunos!$Z$5:$Z$204,MATCH(14,Alunos!$AA$5:$AA$204,0)),"")</f>
        <v/>
      </c>
    </row>
    <row r="54" customFormat="false" ht="15" hidden="false" customHeight="false" outlineLevel="0" collapsed="false">
      <c r="B54" s="22" t="str">
        <f aca="false">IFERROR(INDEX(Alunos!$A$5:$A$204,MATCH(15,Alunos!$AA$5:$AA$204,0)),"")</f>
        <v/>
      </c>
      <c r="C54" s="29" t="str">
        <f aca="false">IFERROR(INDEX(Alunos!$B$5:$B$204,MATCH(15,Alunos!$AA$5:$AA$204,0)),"")</f>
        <v/>
      </c>
      <c r="D54" s="29" t="str">
        <f aca="false">IFERROR(INDEX(Alunos!$D$5:$D$204,MATCH(15,Alunos!$AA$5:$AA$204,0)),"")</f>
        <v/>
      </c>
      <c r="E54" s="29" t="str">
        <f aca="false">IFERROR(INDEX(Alunos!$E$5:$E$204,MATCH(15,Alunos!$AA$5:$AA$204,0)),"")</f>
        <v/>
      </c>
      <c r="F54" s="24" t="str">
        <f aca="false">IFERROR(INDEX(Alunos!$V$5:$V$204,MATCH(15,Alunos!$AA$5:$AA$204,0)),"")</f>
        <v/>
      </c>
      <c r="G54" s="31" t="str">
        <f aca="false">IFERROR(INDEX(Alunos!$Z$5:$Z$204,MATCH(15,Alunos!$AA$5:$AA$204,0)),"")</f>
        <v/>
      </c>
    </row>
    <row r="55" customFormat="false" ht="15" hidden="false" customHeight="false" outlineLevel="0" collapsed="false">
      <c r="B55" s="22" t="str">
        <f aca="false">IFERROR(INDEX(Alunos!$A$5:$A$204,MATCH(16,Alunos!$AA$5:$AA$204,0)),"")</f>
        <v/>
      </c>
      <c r="C55" s="29" t="str">
        <f aca="false">IFERROR(INDEX(Alunos!$B$5:$B$204,MATCH(16,Alunos!$AA$5:$AA$204,0)),"")</f>
        <v/>
      </c>
      <c r="D55" s="29" t="str">
        <f aca="false">IFERROR(INDEX(Alunos!$D$5:$D$204,MATCH(16,Alunos!$AA$5:$AA$204,0)),"")</f>
        <v/>
      </c>
      <c r="E55" s="29" t="str">
        <f aca="false">IFERROR(INDEX(Alunos!$E$5:$E$204,MATCH(16,Alunos!$AA$5:$AA$204,0)),"")</f>
        <v/>
      </c>
      <c r="F55" s="24" t="str">
        <f aca="false">IFERROR(INDEX(Alunos!$V$5:$V$204,MATCH(16,Alunos!$AA$5:$AA$204,0)),"")</f>
        <v/>
      </c>
      <c r="G55" s="31" t="str">
        <f aca="false">IFERROR(INDEX(Alunos!$Z$5:$Z$204,MATCH(16,Alunos!$AA$5:$AA$204,0)),"")</f>
        <v/>
      </c>
    </row>
    <row r="56" customFormat="false" ht="15" hidden="false" customHeight="false" outlineLevel="0" collapsed="false">
      <c r="B56" s="22" t="str">
        <f aca="false">IFERROR(INDEX(Alunos!$A$5:$A$204,MATCH(17,Alunos!$AA$5:$AA$204,0)),"")</f>
        <v/>
      </c>
      <c r="C56" s="29" t="str">
        <f aca="false">IFERROR(INDEX(Alunos!$B$5:$B$204,MATCH(17,Alunos!$AA$5:$AA$204,0)),"")</f>
        <v/>
      </c>
      <c r="D56" s="29" t="str">
        <f aca="false">IFERROR(INDEX(Alunos!$D$5:$D$204,MATCH(17,Alunos!$AA$5:$AA$204,0)),"")</f>
        <v/>
      </c>
      <c r="E56" s="29" t="str">
        <f aca="false">IFERROR(INDEX(Alunos!$E$5:$E$204,MATCH(17,Alunos!$AA$5:$AA$204,0)),"")</f>
        <v/>
      </c>
      <c r="F56" s="24" t="str">
        <f aca="false">IFERROR(INDEX(Alunos!$V$5:$V$204,MATCH(17,Alunos!$AA$5:$AA$204,0)),"")</f>
        <v/>
      </c>
      <c r="G56" s="31" t="str">
        <f aca="false">IFERROR(INDEX(Alunos!$Z$5:$Z$204,MATCH(17,Alunos!$AA$5:$AA$204,0)),"")</f>
        <v/>
      </c>
    </row>
    <row r="57" customFormat="false" ht="15" hidden="false" customHeight="false" outlineLevel="0" collapsed="false">
      <c r="B57" s="22" t="str">
        <f aca="false">IFERROR(INDEX(Alunos!$A$5:$A$204,MATCH(18,Alunos!$AA$5:$AA$204,0)),"")</f>
        <v/>
      </c>
      <c r="C57" s="29" t="str">
        <f aca="false">IFERROR(INDEX(Alunos!$B$5:$B$204,MATCH(18,Alunos!$AA$5:$AA$204,0)),"")</f>
        <v/>
      </c>
      <c r="D57" s="29" t="str">
        <f aca="false">IFERROR(INDEX(Alunos!$D$5:$D$204,MATCH(18,Alunos!$AA$5:$AA$204,0)),"")</f>
        <v/>
      </c>
      <c r="E57" s="29" t="str">
        <f aca="false">IFERROR(INDEX(Alunos!$E$5:$E$204,MATCH(18,Alunos!$AA$5:$AA$204,0)),"")</f>
        <v/>
      </c>
      <c r="F57" s="24" t="str">
        <f aca="false">IFERROR(INDEX(Alunos!$V$5:$V$204,MATCH(18,Alunos!$AA$5:$AA$204,0)),"")</f>
        <v/>
      </c>
      <c r="G57" s="31" t="str">
        <f aca="false">IFERROR(INDEX(Alunos!$Z$5:$Z$204,MATCH(18,Alunos!$AA$5:$AA$204,0)),"")</f>
        <v/>
      </c>
    </row>
    <row r="58" customFormat="false" ht="15" hidden="false" customHeight="false" outlineLevel="0" collapsed="false">
      <c r="B58" s="22" t="str">
        <f aca="false">IFERROR(INDEX(Alunos!$A$5:$A$204,MATCH(19,Alunos!$AA$5:$AA$204,0)),"")</f>
        <v/>
      </c>
      <c r="C58" s="29" t="str">
        <f aca="false">IFERROR(INDEX(Alunos!$B$5:$B$204,MATCH(19,Alunos!$AA$5:$AA$204,0)),"")</f>
        <v/>
      </c>
      <c r="D58" s="29" t="str">
        <f aca="false">IFERROR(INDEX(Alunos!$D$5:$D$204,MATCH(19,Alunos!$AA$5:$AA$204,0)),"")</f>
        <v/>
      </c>
      <c r="E58" s="29" t="str">
        <f aca="false">IFERROR(INDEX(Alunos!$E$5:$E$204,MATCH(19,Alunos!$AA$5:$AA$204,0)),"")</f>
        <v/>
      </c>
      <c r="F58" s="24" t="str">
        <f aca="false">IFERROR(INDEX(Alunos!$V$5:$V$204,MATCH(19,Alunos!$AA$5:$AA$204,0)),"")</f>
        <v/>
      </c>
      <c r="G58" s="31" t="str">
        <f aca="false">IFERROR(INDEX(Alunos!$Z$5:$Z$204,MATCH(19,Alunos!$AA$5:$AA$204,0)),"")</f>
        <v/>
      </c>
    </row>
    <row r="59" customFormat="false" ht="15" hidden="false" customHeight="false" outlineLevel="0" collapsed="false">
      <c r="B59" s="22" t="str">
        <f aca="false">IFERROR(INDEX(Alunos!$A$5:$A$204,MATCH(20,Alunos!$AA$5:$AA$204,0)),"")</f>
        <v/>
      </c>
      <c r="C59" s="29" t="str">
        <f aca="false">IFERROR(INDEX(Alunos!$B$5:$B$204,MATCH(20,Alunos!$AA$5:$AA$204,0)),"")</f>
        <v/>
      </c>
      <c r="D59" s="29" t="str">
        <f aca="false">IFERROR(INDEX(Alunos!$D$5:$D$204,MATCH(20,Alunos!$AA$5:$AA$204,0)),"")</f>
        <v/>
      </c>
      <c r="E59" s="29" t="str">
        <f aca="false">IFERROR(INDEX(Alunos!$E$5:$E$204,MATCH(20,Alunos!$AA$5:$AA$204,0)),"")</f>
        <v/>
      </c>
      <c r="F59" s="24" t="str">
        <f aca="false">IFERROR(INDEX(Alunos!$V$5:$V$204,MATCH(20,Alunos!$AA$5:$AA$204,0)),"")</f>
        <v/>
      </c>
      <c r="G59" s="31" t="str">
        <f aca="false">IFERROR(INDEX(Alunos!$Z$5:$Z$204,MATCH(20,Alunos!$AA$5:$AA$204,0)),"")</f>
        <v/>
      </c>
    </row>
    <row r="60" customFormat="false" ht="15" hidden="false" customHeight="false" outlineLevel="0" collapsed="false">
      <c r="B60" s="22" t="str">
        <f aca="false">IFERROR(INDEX(Alunos!$A$5:$A$204,MATCH(21,Alunos!$AA$5:$AA$204,0)),"")</f>
        <v/>
      </c>
      <c r="C60" s="29" t="str">
        <f aca="false">IFERROR(INDEX(Alunos!$B$5:$B$204,MATCH(21,Alunos!$AA$5:$AA$204,0)),"")</f>
        <v/>
      </c>
      <c r="D60" s="29" t="str">
        <f aca="false">IFERROR(INDEX(Alunos!$D$5:$D$204,MATCH(21,Alunos!$AA$5:$AA$204,0)),"")</f>
        <v/>
      </c>
      <c r="E60" s="29" t="str">
        <f aca="false">IFERROR(INDEX(Alunos!$E$5:$E$204,MATCH(21,Alunos!$AA$5:$AA$204,0)),"")</f>
        <v/>
      </c>
      <c r="F60" s="24" t="str">
        <f aca="false">IFERROR(INDEX(Alunos!$V$5:$V$204,MATCH(21,Alunos!$AA$5:$AA$204,0)),"")</f>
        <v/>
      </c>
      <c r="G60" s="31" t="str">
        <f aca="false">IFERROR(INDEX(Alunos!$Z$5:$Z$204,MATCH(21,Alunos!$AA$5:$AA$204,0)),"")</f>
        <v/>
      </c>
    </row>
    <row r="61" customFormat="false" ht="15" hidden="false" customHeight="false" outlineLevel="0" collapsed="false">
      <c r="B61" s="22" t="str">
        <f aca="false">IFERROR(INDEX(Alunos!$A$5:$A$204,MATCH(22,Alunos!$AA$5:$AA$204,0)),"")</f>
        <v/>
      </c>
      <c r="C61" s="29" t="str">
        <f aca="false">IFERROR(INDEX(Alunos!$B$5:$B$204,MATCH(22,Alunos!$AA$5:$AA$204,0)),"")</f>
        <v/>
      </c>
      <c r="D61" s="29" t="str">
        <f aca="false">IFERROR(INDEX(Alunos!$D$5:$D$204,MATCH(22,Alunos!$AA$5:$AA$204,0)),"")</f>
        <v/>
      </c>
      <c r="E61" s="29" t="str">
        <f aca="false">IFERROR(INDEX(Alunos!$E$5:$E$204,MATCH(22,Alunos!$AA$5:$AA$204,0)),"")</f>
        <v/>
      </c>
      <c r="F61" s="24" t="str">
        <f aca="false">IFERROR(INDEX(Alunos!$V$5:$V$204,MATCH(22,Alunos!$AA$5:$AA$204,0)),"")</f>
        <v/>
      </c>
      <c r="G61" s="31" t="str">
        <f aca="false">IFERROR(INDEX(Alunos!$Z$5:$Z$204,MATCH(22,Alunos!$AA$5:$AA$204,0)),"")</f>
        <v/>
      </c>
    </row>
    <row r="62" customFormat="false" ht="15" hidden="false" customHeight="false" outlineLevel="0" collapsed="false">
      <c r="B62" s="22" t="str">
        <f aca="false">IFERROR(INDEX(Alunos!$A$5:$A$204,MATCH(23,Alunos!$AA$5:$AA$204,0)),"")</f>
        <v/>
      </c>
      <c r="C62" s="29" t="str">
        <f aca="false">IFERROR(INDEX(Alunos!$B$5:$B$204,MATCH(23,Alunos!$AA$5:$AA$204,0)),"")</f>
        <v/>
      </c>
      <c r="D62" s="29" t="str">
        <f aca="false">IFERROR(INDEX(Alunos!$D$5:$D$204,MATCH(23,Alunos!$AA$5:$AA$204,0)),"")</f>
        <v/>
      </c>
      <c r="E62" s="29" t="str">
        <f aca="false">IFERROR(INDEX(Alunos!$E$5:$E$204,MATCH(23,Alunos!$AA$5:$AA$204,0)),"")</f>
        <v/>
      </c>
      <c r="F62" s="24" t="str">
        <f aca="false">IFERROR(INDEX(Alunos!$V$5:$V$204,MATCH(23,Alunos!$AA$5:$AA$204,0)),"")</f>
        <v/>
      </c>
      <c r="G62" s="31" t="str">
        <f aca="false">IFERROR(INDEX(Alunos!$Z$5:$Z$204,MATCH(23,Alunos!$AA$5:$AA$204,0)),"")</f>
        <v/>
      </c>
    </row>
    <row r="63" customFormat="false" ht="15" hidden="false" customHeight="false" outlineLevel="0" collapsed="false">
      <c r="B63" s="22" t="str">
        <f aca="false">IFERROR(INDEX(Alunos!$A$5:$A$204,MATCH(24,Alunos!$AA$5:$AA$204,0)),"")</f>
        <v/>
      </c>
      <c r="C63" s="29" t="str">
        <f aca="false">IFERROR(INDEX(Alunos!$B$5:$B$204,MATCH(24,Alunos!$AA$5:$AA$204,0)),"")</f>
        <v/>
      </c>
      <c r="D63" s="29" t="str">
        <f aca="false">IFERROR(INDEX(Alunos!$D$5:$D$204,MATCH(24,Alunos!$AA$5:$AA$204,0)),"")</f>
        <v/>
      </c>
      <c r="E63" s="29" t="str">
        <f aca="false">IFERROR(INDEX(Alunos!$E$5:$E$204,MATCH(24,Alunos!$AA$5:$AA$204,0)),"")</f>
        <v/>
      </c>
      <c r="F63" s="24" t="str">
        <f aca="false">IFERROR(INDEX(Alunos!$V$5:$V$204,MATCH(24,Alunos!$AA$5:$AA$204,0)),"")</f>
        <v/>
      </c>
      <c r="G63" s="31" t="str">
        <f aca="false">IFERROR(INDEX(Alunos!$Z$5:$Z$204,MATCH(24,Alunos!$AA$5:$AA$204,0)),"")</f>
        <v/>
      </c>
    </row>
    <row r="64" customFormat="false" ht="15" hidden="false" customHeight="false" outlineLevel="0" collapsed="false">
      <c r="B64" s="22" t="str">
        <f aca="false">IFERROR(INDEX(Alunos!$A$5:$A$204,MATCH(25,Alunos!$AA$5:$AA$204,0)),"")</f>
        <v/>
      </c>
      <c r="C64" s="29" t="str">
        <f aca="false">IFERROR(INDEX(Alunos!$B$5:$B$204,MATCH(25,Alunos!$AA$5:$AA$204,0)),"")</f>
        <v/>
      </c>
      <c r="D64" s="29" t="str">
        <f aca="false">IFERROR(INDEX(Alunos!$D$5:$D$204,MATCH(25,Alunos!$AA$5:$AA$204,0)),"")</f>
        <v/>
      </c>
      <c r="E64" s="29" t="str">
        <f aca="false">IFERROR(INDEX(Alunos!$E$5:$E$204,MATCH(25,Alunos!$AA$5:$AA$204,0)),"")</f>
        <v/>
      </c>
      <c r="F64" s="24" t="str">
        <f aca="false">IFERROR(INDEX(Alunos!$V$5:$V$204,MATCH(25,Alunos!$AA$5:$AA$204,0)),"")</f>
        <v/>
      </c>
      <c r="G64" s="31" t="str">
        <f aca="false">IFERROR(INDEX(Alunos!$Z$5:$Z$204,MATCH(25,Alunos!$AA$5:$AA$204,0)),"")</f>
        <v/>
      </c>
    </row>
    <row r="65" customFormat="false" ht="15" hidden="false" customHeight="false" outlineLevel="0" collapsed="false">
      <c r="B65" s="22" t="str">
        <f aca="false">IFERROR(INDEX(Alunos!$A$5:$A$204,MATCH(26,Alunos!$AA$5:$AA$204,0)),"")</f>
        <v/>
      </c>
      <c r="C65" s="29" t="str">
        <f aca="false">IFERROR(INDEX(Alunos!$B$5:$B$204,MATCH(26,Alunos!$AA$5:$AA$204,0)),"")</f>
        <v/>
      </c>
      <c r="D65" s="29" t="str">
        <f aca="false">IFERROR(INDEX(Alunos!$D$5:$D$204,MATCH(26,Alunos!$AA$5:$AA$204,0)),"")</f>
        <v/>
      </c>
      <c r="E65" s="29" t="str">
        <f aca="false">IFERROR(INDEX(Alunos!$E$5:$E$204,MATCH(26,Alunos!$AA$5:$AA$204,0)),"")</f>
        <v/>
      </c>
      <c r="F65" s="24" t="str">
        <f aca="false">IFERROR(INDEX(Alunos!$V$5:$V$204,MATCH(26,Alunos!$AA$5:$AA$204,0)),"")</f>
        <v/>
      </c>
      <c r="G65" s="31" t="str">
        <f aca="false">IFERROR(INDEX(Alunos!$Z$5:$Z$204,MATCH(26,Alunos!$AA$5:$AA$204,0)),"")</f>
        <v/>
      </c>
    </row>
    <row r="66" customFormat="false" ht="15" hidden="false" customHeight="false" outlineLevel="0" collapsed="false">
      <c r="B66" s="22" t="str">
        <f aca="false">IFERROR(INDEX(Alunos!$A$5:$A$204,MATCH(27,Alunos!$AA$5:$AA$204,0)),"")</f>
        <v/>
      </c>
      <c r="C66" s="29" t="str">
        <f aca="false">IFERROR(INDEX(Alunos!$B$5:$B$204,MATCH(27,Alunos!$AA$5:$AA$204,0)),"")</f>
        <v/>
      </c>
      <c r="D66" s="29" t="str">
        <f aca="false">IFERROR(INDEX(Alunos!$D$5:$D$204,MATCH(27,Alunos!$AA$5:$AA$204,0)),"")</f>
        <v/>
      </c>
      <c r="E66" s="29" t="str">
        <f aca="false">IFERROR(INDEX(Alunos!$E$5:$E$204,MATCH(27,Alunos!$AA$5:$AA$204,0)),"")</f>
        <v/>
      </c>
      <c r="F66" s="24" t="str">
        <f aca="false">IFERROR(INDEX(Alunos!$V$5:$V$204,MATCH(27,Alunos!$AA$5:$AA$204,0)),"")</f>
        <v/>
      </c>
      <c r="G66" s="31" t="str">
        <f aca="false">IFERROR(INDEX(Alunos!$Z$5:$Z$204,MATCH(27,Alunos!$AA$5:$AA$204,0)),"")</f>
        <v/>
      </c>
    </row>
    <row r="67" customFormat="false" ht="15" hidden="false" customHeight="false" outlineLevel="0" collapsed="false">
      <c r="B67" s="22" t="str">
        <f aca="false">IFERROR(INDEX(Alunos!$A$5:$A$204,MATCH(28,Alunos!$AA$5:$AA$204,0)),"")</f>
        <v/>
      </c>
      <c r="C67" s="29" t="str">
        <f aca="false">IFERROR(INDEX(Alunos!$B$5:$B$204,MATCH(28,Alunos!$AA$5:$AA$204,0)),"")</f>
        <v/>
      </c>
      <c r="D67" s="29" t="str">
        <f aca="false">IFERROR(INDEX(Alunos!$D$5:$D$204,MATCH(28,Alunos!$AA$5:$AA$204,0)),"")</f>
        <v/>
      </c>
      <c r="E67" s="29" t="str">
        <f aca="false">IFERROR(INDEX(Alunos!$E$5:$E$204,MATCH(28,Alunos!$AA$5:$AA$204,0)),"")</f>
        <v/>
      </c>
      <c r="F67" s="24" t="str">
        <f aca="false">IFERROR(INDEX(Alunos!$V$5:$V$204,MATCH(28,Alunos!$AA$5:$AA$204,0)),"")</f>
        <v/>
      </c>
      <c r="G67" s="31" t="str">
        <f aca="false">IFERROR(INDEX(Alunos!$Z$5:$Z$204,MATCH(28,Alunos!$AA$5:$AA$204,0)),"")</f>
        <v/>
      </c>
    </row>
    <row r="68" customFormat="false" ht="15" hidden="false" customHeight="false" outlineLevel="0" collapsed="false">
      <c r="B68" s="22" t="str">
        <f aca="false">IFERROR(INDEX(Alunos!$A$5:$A$204,MATCH(29,Alunos!$AA$5:$AA$204,0)),"")</f>
        <v/>
      </c>
      <c r="C68" s="29" t="str">
        <f aca="false">IFERROR(INDEX(Alunos!$B$5:$B$204,MATCH(29,Alunos!$AA$5:$AA$204,0)),"")</f>
        <v/>
      </c>
      <c r="D68" s="29" t="str">
        <f aca="false">IFERROR(INDEX(Alunos!$D$5:$D$204,MATCH(29,Alunos!$AA$5:$AA$204,0)),"")</f>
        <v/>
      </c>
      <c r="E68" s="29" t="str">
        <f aca="false">IFERROR(INDEX(Alunos!$E$5:$E$204,MATCH(29,Alunos!$AA$5:$AA$204,0)),"")</f>
        <v/>
      </c>
      <c r="F68" s="24" t="str">
        <f aca="false">IFERROR(INDEX(Alunos!$V$5:$V$204,MATCH(29,Alunos!$AA$5:$AA$204,0)),"")</f>
        <v/>
      </c>
      <c r="G68" s="31" t="str">
        <f aca="false">IFERROR(INDEX(Alunos!$Z$5:$Z$204,MATCH(29,Alunos!$AA$5:$AA$204,0)),"")</f>
        <v/>
      </c>
    </row>
    <row r="69" customFormat="false" ht="15" hidden="false" customHeight="false" outlineLevel="0" collapsed="false">
      <c r="B69" s="22" t="str">
        <f aca="false">IFERROR(INDEX(Alunos!$A$5:$A$204,MATCH(30,Alunos!$AA$5:$AA$204,0)),"")</f>
        <v/>
      </c>
      <c r="C69" s="29" t="str">
        <f aca="false">IFERROR(INDEX(Alunos!$B$5:$B$204,MATCH(30,Alunos!$AA$5:$AA$204,0)),"")</f>
        <v/>
      </c>
      <c r="D69" s="29" t="str">
        <f aca="false">IFERROR(INDEX(Alunos!$D$5:$D$204,MATCH(30,Alunos!$AA$5:$AA$204,0)),"")</f>
        <v/>
      </c>
      <c r="E69" s="29" t="str">
        <f aca="false">IFERROR(INDEX(Alunos!$E$5:$E$204,MATCH(30,Alunos!$AA$5:$AA$204,0)),"")</f>
        <v/>
      </c>
      <c r="F69" s="24" t="str">
        <f aca="false">IFERROR(INDEX(Alunos!$V$5:$V$204,MATCH(30,Alunos!$AA$5:$AA$204,0)),"")</f>
        <v/>
      </c>
      <c r="G69" s="31" t="str">
        <f aca="false">IFERROR(INDEX(Alunos!$Z$5:$Z$204,MATCH(30,Alunos!$AA$5:$AA$204,0)),"")</f>
        <v/>
      </c>
    </row>
  </sheetData>
  <conditionalFormatting sqref="E10:H21">
    <cfRule type="expression" priority="2" aboveAverage="0" equalAverage="0" bottom="0" percent="0" rank="0" text="" dxfId="0">
      <formula>ROW(E10)-9=$C$6</formula>
    </cfRule>
  </conditionalFormatting>
  <dataValidations count="1">
    <dataValidation allowBlank="false" errorStyle="stop" operator="between" showDropDown="false" showErrorMessage="false" showInputMessage="false" sqref="C5" type="list">
      <formula1>Listas!$C$2:$C$13</formula1>
      <formula2>0</formula2>
    </dataValidation>
  </dataValidations>
  <hyperlinks>
    <hyperlink ref="E5" r:id="rId1" display="Diagnóstico financeiro gratuito · WhatsApp (21) 98179-6708 · @fluxobpo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E2E1"/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3" style="0" width="14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32" t="s">
        <v>63</v>
      </c>
      <c r="C1" s="32" t="s">
        <v>64</v>
      </c>
      <c r="E1" s="32" t="s">
        <v>65</v>
      </c>
    </row>
    <row r="2" customFormat="false" ht="15" hidden="false" customHeight="false" outlineLevel="0" collapsed="false">
      <c r="A2" s="33" t="s">
        <v>66</v>
      </c>
      <c r="B2" s="7"/>
      <c r="C2" s="7" t="s">
        <v>36</v>
      </c>
      <c r="D2" s="7"/>
      <c r="E2" s="7" t="s">
        <v>67</v>
      </c>
    </row>
    <row r="3" customFormat="false" ht="15" hidden="false" customHeight="false" outlineLevel="0" collapsed="false">
      <c r="A3" s="33" t="s">
        <v>68</v>
      </c>
      <c r="B3" s="7"/>
      <c r="C3" s="7" t="s">
        <v>38</v>
      </c>
      <c r="D3" s="7"/>
      <c r="E3" s="7" t="s">
        <v>69</v>
      </c>
    </row>
    <row r="4" customFormat="false" ht="15" hidden="false" customHeight="false" outlineLevel="0" collapsed="false">
      <c r="A4" s="33" t="s">
        <v>70</v>
      </c>
      <c r="B4" s="7"/>
      <c r="C4" s="7" t="s">
        <v>39</v>
      </c>
      <c r="D4" s="7"/>
      <c r="E4" s="7"/>
    </row>
    <row r="5" customFormat="false" ht="15" hidden="false" customHeight="false" outlineLevel="0" collapsed="false">
      <c r="A5" s="33" t="s">
        <v>71</v>
      </c>
      <c r="B5" s="7"/>
      <c r="C5" s="7" t="s">
        <v>41</v>
      </c>
      <c r="D5" s="7"/>
      <c r="E5" s="7"/>
    </row>
    <row r="6" customFormat="false" ht="15" hidden="false" customHeight="false" outlineLevel="0" collapsed="false">
      <c r="A6" s="33" t="s">
        <v>72</v>
      </c>
      <c r="B6" s="7"/>
      <c r="C6" s="7" t="s">
        <v>43</v>
      </c>
      <c r="D6" s="7"/>
      <c r="E6" s="7"/>
    </row>
    <row r="7" customFormat="false" ht="15" hidden="false" customHeight="false" outlineLevel="0" collapsed="false">
      <c r="A7" s="33" t="s">
        <v>73</v>
      </c>
      <c r="B7" s="7"/>
      <c r="C7" s="7" t="s">
        <v>45</v>
      </c>
      <c r="D7" s="7"/>
      <c r="E7" s="7"/>
    </row>
    <row r="8" customFormat="false" ht="15" hidden="false" customHeight="false" outlineLevel="0" collapsed="false">
      <c r="A8" s="33" t="s">
        <v>74</v>
      </c>
      <c r="B8" s="7"/>
      <c r="C8" s="7" t="s">
        <v>47</v>
      </c>
      <c r="D8" s="7"/>
      <c r="E8" s="7"/>
    </row>
    <row r="9" customFormat="false" ht="15" hidden="false" customHeight="false" outlineLevel="0" collapsed="false">
      <c r="A9" s="33" t="s">
        <v>75</v>
      </c>
      <c r="B9" s="7"/>
      <c r="C9" s="7" t="s">
        <v>49</v>
      </c>
      <c r="D9" s="7"/>
      <c r="E9" s="7"/>
    </row>
    <row r="10" customFormat="false" ht="15" hidden="false" customHeight="false" outlineLevel="0" collapsed="false">
      <c r="A10" s="33"/>
      <c r="B10" s="7"/>
      <c r="C10" s="7" t="s">
        <v>50</v>
      </c>
      <c r="D10" s="7"/>
      <c r="E10" s="7"/>
    </row>
    <row r="11" customFormat="false" ht="15" hidden="false" customHeight="false" outlineLevel="0" collapsed="false">
      <c r="A11" s="33"/>
      <c r="B11" s="7"/>
      <c r="C11" s="7" t="s">
        <v>25</v>
      </c>
      <c r="D11" s="7"/>
      <c r="E11" s="7"/>
    </row>
    <row r="12" customFormat="false" ht="15" hidden="false" customHeight="false" outlineLevel="0" collapsed="false">
      <c r="A12" s="7"/>
      <c r="B12" s="7"/>
      <c r="C12" s="7" t="s">
        <v>51</v>
      </c>
      <c r="D12" s="7"/>
      <c r="E12" s="7"/>
    </row>
    <row r="13" customFormat="false" ht="15" hidden="false" customHeight="false" outlineLevel="0" collapsed="false">
      <c r="A13" s="7"/>
      <c r="B13" s="7"/>
      <c r="C13" s="7" t="s">
        <v>52</v>
      </c>
      <c r="D13" s="7"/>
      <c r="E13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1B4B5"/>
    <pageSetUpPr fitToPage="false"/>
  </sheetPr>
  <dimension ref="A1:AA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21" min="10" style="0" width="8"/>
    <col collapsed="false" customWidth="true" hidden="false" outlineLevel="0" max="22" min="22" style="0" width="13"/>
    <col collapsed="false" customWidth="true" hidden="false" outlineLevel="0" max="24" min="23" style="0" width="11"/>
    <col collapsed="false" customWidth="true" hidden="false" outlineLevel="0" max="25" min="25" style="0" width="15"/>
    <col collapsed="false" customWidth="true" hidden="false" outlineLevel="0" max="26" min="26" style="0" width="10"/>
    <col collapsed="false" customWidth="true" hidden="false" outlineLevel="0" max="27" min="27" style="0" width="7"/>
  </cols>
  <sheetData>
    <row r="1" customFormat="false" ht="19.7" hidden="false" customHeight="false" outlineLevel="0" collapsed="false">
      <c r="A1" s="1" t="s">
        <v>76</v>
      </c>
    </row>
    <row r="2" customFormat="false" ht="15" hidden="false" customHeight="false" outlineLevel="0" collapsed="false">
      <c r="A2" s="16" t="s">
        <v>77</v>
      </c>
    </row>
    <row r="3" customFormat="false" ht="15" hidden="false" customHeight="false" outlineLevel="0" collapsed="false">
      <c r="J3" s="28" t="s">
        <v>78</v>
      </c>
      <c r="V3" s="28" t="s">
        <v>79</v>
      </c>
    </row>
    <row r="4" customFormat="false" ht="30" hidden="false" customHeight="true" outlineLevel="0" collapsed="false">
      <c r="A4" s="34" t="s">
        <v>59</v>
      </c>
      <c r="B4" s="34" t="s">
        <v>55</v>
      </c>
      <c r="C4" s="34" t="s">
        <v>80</v>
      </c>
      <c r="D4" s="34" t="s">
        <v>60</v>
      </c>
      <c r="E4" s="34" t="s">
        <v>61</v>
      </c>
      <c r="F4" s="34" t="s">
        <v>81</v>
      </c>
      <c r="G4" s="34" t="s">
        <v>82</v>
      </c>
      <c r="H4" s="34" t="s">
        <v>83</v>
      </c>
      <c r="I4" s="34" t="s">
        <v>65</v>
      </c>
      <c r="J4" s="34" t="s">
        <v>84</v>
      </c>
      <c r="K4" s="34" t="s">
        <v>85</v>
      </c>
      <c r="L4" s="34" t="s">
        <v>86</v>
      </c>
      <c r="M4" s="34" t="s">
        <v>87</v>
      </c>
      <c r="N4" s="34" t="s">
        <v>88</v>
      </c>
      <c r="O4" s="34" t="s">
        <v>89</v>
      </c>
      <c r="P4" s="34" t="s">
        <v>90</v>
      </c>
      <c r="Q4" s="34" t="s">
        <v>91</v>
      </c>
      <c r="R4" s="34" t="s">
        <v>92</v>
      </c>
      <c r="S4" s="34" t="s">
        <v>93</v>
      </c>
      <c r="T4" s="34" t="s">
        <v>94</v>
      </c>
      <c r="U4" s="34" t="s">
        <v>95</v>
      </c>
      <c r="V4" s="35" t="s">
        <v>96</v>
      </c>
      <c r="W4" s="35" t="s">
        <v>97</v>
      </c>
      <c r="X4" s="35" t="s">
        <v>98</v>
      </c>
      <c r="Y4" s="35" t="s">
        <v>99</v>
      </c>
      <c r="Z4" s="35" t="s">
        <v>62</v>
      </c>
      <c r="AA4" s="35" t="s">
        <v>100</v>
      </c>
    </row>
    <row r="5" customFormat="false" ht="15" hidden="false" customHeight="false" outlineLevel="0" collapsed="false">
      <c r="A5" s="36" t="s">
        <v>101</v>
      </c>
      <c r="B5" s="36" t="s">
        <v>66</v>
      </c>
      <c r="C5" s="36" t="s">
        <v>102</v>
      </c>
      <c r="D5" s="36" t="s">
        <v>103</v>
      </c>
      <c r="E5" s="36" t="s">
        <v>104</v>
      </c>
      <c r="F5" s="37" t="n">
        <v>280</v>
      </c>
      <c r="G5" s="36" t="n">
        <v>5</v>
      </c>
      <c r="H5" s="38" t="n">
        <v>46032</v>
      </c>
      <c r="I5" s="36" t="s">
        <v>67</v>
      </c>
      <c r="J5" s="39" t="n">
        <v>46026</v>
      </c>
      <c r="K5" s="39" t="n">
        <v>46056</v>
      </c>
      <c r="L5" s="39" t="n">
        <v>46086</v>
      </c>
      <c r="M5" s="39" t="n">
        <v>46114</v>
      </c>
      <c r="N5" s="39" t="n">
        <v>46144</v>
      </c>
      <c r="O5" s="39" t="n">
        <v>46177</v>
      </c>
      <c r="P5" s="39" t="n">
        <v>46208</v>
      </c>
      <c r="Q5" s="39" t="n">
        <v>46239</v>
      </c>
      <c r="R5" s="39" t="n">
        <v>46270</v>
      </c>
      <c r="S5" s="39" t="n">
        <v>46299</v>
      </c>
      <c r="T5" s="39"/>
      <c r="U5" s="39"/>
      <c r="V5" s="40" t="n">
        <f aca="false">IF(A5="",0,IF(AND(I5="Ativo",OR(H5="",H5&lt;=EOMONTH(DATE(Painel!$C$4,Painel!$C$6,1),0))),F5,0))</f>
        <v>280</v>
      </c>
      <c r="W5" s="41" t="n">
        <f aca="false">IF(OR(V5=0,G5=""),"",DATE(Painel!$C$4,Painel!$C$6,MIN(G5,DAY(EOMONTH(DATE(Painel!$C$4,Painel!$C$6,1),0)))))</f>
        <v>46300</v>
      </c>
      <c r="X5" s="41" t="n">
        <f aca="false">IF(A5="","",IF(INDEX(J5:U5,Painel!$C$6)="","",INDEX(J5:U5,Painel!$C$6)))</f>
        <v>46299</v>
      </c>
      <c r="Y5" s="42" t="str">
        <f aca="true">IF(A5="","",IF(I5&lt;&gt;"Ativo","Inativo",IF(V5=0,"Sem cobrança",IF(X5&lt;&gt;"",IF(AND(W5&lt;&gt;"",X5&gt;W5),"Pago com atraso","Pago"),IF(W5="","Sem vencimento",IF(TODAY()&gt;W5,"Em atraso","A vencer"))))))</f>
        <v>Pago</v>
      </c>
      <c r="Z5" s="43" t="str">
        <f aca="true">IF(Y5="Em atraso",TODAY()-W5,"")</f>
        <v/>
      </c>
      <c r="AA5" s="42" t="str">
        <f aca="false">IF(Y5="Em atraso",COUNTIF($Y$5:Y5,"Em atraso"),"")</f>
        <v/>
      </c>
    </row>
    <row r="6" customFormat="false" ht="15" hidden="false" customHeight="false" outlineLevel="0" collapsed="false">
      <c r="A6" s="36" t="s">
        <v>105</v>
      </c>
      <c r="B6" s="36" t="s">
        <v>68</v>
      </c>
      <c r="C6" s="36" t="s">
        <v>106</v>
      </c>
      <c r="D6" s="36" t="s">
        <v>107</v>
      </c>
      <c r="E6" s="36" t="s">
        <v>108</v>
      </c>
      <c r="F6" s="37" t="n">
        <v>220</v>
      </c>
      <c r="G6" s="36" t="n">
        <v>10</v>
      </c>
      <c r="H6" s="38" t="n">
        <v>46027</v>
      </c>
      <c r="I6" s="36" t="s">
        <v>67</v>
      </c>
      <c r="J6" s="39" t="n">
        <v>46029</v>
      </c>
      <c r="K6" s="39" t="n">
        <v>46061</v>
      </c>
      <c r="L6" s="39" t="n">
        <v>46091</v>
      </c>
      <c r="M6" s="39" t="n">
        <v>46121</v>
      </c>
      <c r="N6" s="39" t="n">
        <v>46150</v>
      </c>
      <c r="O6" s="39" t="n">
        <v>46181</v>
      </c>
      <c r="P6" s="39" t="n">
        <v>46225</v>
      </c>
      <c r="Q6" s="39" t="n">
        <v>46243</v>
      </c>
      <c r="R6" s="39" t="n">
        <v>46287</v>
      </c>
      <c r="S6" s="39"/>
      <c r="T6" s="39"/>
      <c r="U6" s="39"/>
      <c r="V6" s="40" t="n">
        <f aca="false">IF(A6="",0,IF(AND(I6="Ativo",OR(H6="",H6&lt;=EOMONTH(DATE(Painel!$C$4,Painel!$C$6,1),0))),F6,0))</f>
        <v>220</v>
      </c>
      <c r="W6" s="41" t="n">
        <f aca="false">IF(OR(V6=0,G6=""),"",DATE(Painel!$C$4,Painel!$C$6,MIN(G6,DAY(EOMONTH(DATE(Painel!$C$4,Painel!$C$6,1),0)))))</f>
        <v>46305</v>
      </c>
      <c r="X6" s="41" t="str">
        <f aca="false">IF(A6="","",IF(INDEX(J6:U6,Painel!$C$6)="","",INDEX(J6:U6,Painel!$C$6)))</f>
        <v/>
      </c>
      <c r="Y6" s="42" t="str">
        <f aca="true">IF(A6="","",IF(I6&lt;&gt;"Ativo","Inativo",IF(V6=0,"Sem cobrança",IF(X6&lt;&gt;"",IF(AND(W6&lt;&gt;"",X6&gt;W6),"Pago com atraso","Pago"),IF(W6="","Sem vencimento",IF(TODAY()&gt;W6,"Em atraso","A vencer"))))))</f>
        <v>Em atraso</v>
      </c>
      <c r="Z6" s="43" t="n">
        <f aca="true">IF(Y6="Em atraso",TODAY()-W6,"")</f>
        <v>4</v>
      </c>
      <c r="AA6" s="42" t="n">
        <f aca="false">IF(Y6="Em atraso",COUNTIF($Y$5:Y6,"Em atraso"),"")</f>
        <v>1</v>
      </c>
    </row>
    <row r="7" customFormat="false" ht="15" hidden="false" customHeight="false" outlineLevel="0" collapsed="false">
      <c r="A7" s="36" t="s">
        <v>109</v>
      </c>
      <c r="B7" s="36" t="s">
        <v>70</v>
      </c>
      <c r="C7" s="36" t="s">
        <v>110</v>
      </c>
      <c r="D7" s="36" t="s">
        <v>111</v>
      </c>
      <c r="E7" s="36" t="s">
        <v>112</v>
      </c>
      <c r="F7" s="37" t="n">
        <v>390</v>
      </c>
      <c r="G7" s="36" t="n">
        <v>15</v>
      </c>
      <c r="H7" s="38" t="n">
        <v>46056</v>
      </c>
      <c r="I7" s="36" t="s">
        <v>67</v>
      </c>
      <c r="J7" s="39"/>
      <c r="K7" s="39" t="n">
        <v>46068</v>
      </c>
      <c r="L7" s="39" t="n">
        <v>46094</v>
      </c>
      <c r="M7" s="39" t="n">
        <v>46126</v>
      </c>
      <c r="N7" s="39" t="n">
        <v>46157</v>
      </c>
      <c r="O7" s="39" t="n">
        <v>46186</v>
      </c>
      <c r="P7" s="39" t="n">
        <v>46216</v>
      </c>
      <c r="Q7" s="39" t="n">
        <v>46248</v>
      </c>
      <c r="R7" s="39" t="n">
        <v>46279</v>
      </c>
      <c r="S7" s="39" t="n">
        <v>46308</v>
      </c>
      <c r="T7" s="39"/>
      <c r="U7" s="39"/>
      <c r="V7" s="40" t="n">
        <f aca="false">IF(A7="",0,IF(AND(I7="Ativo",OR(H7="",H7&lt;=EOMONTH(DATE(Painel!$C$4,Painel!$C$6,1),0))),F7,0))</f>
        <v>390</v>
      </c>
      <c r="W7" s="41" t="n">
        <f aca="false">IF(OR(V7=0,G7=""),"",DATE(Painel!$C$4,Painel!$C$6,MIN(G7,DAY(EOMONTH(DATE(Painel!$C$4,Painel!$C$6,1),0)))))</f>
        <v>46310</v>
      </c>
      <c r="X7" s="41" t="n">
        <f aca="false">IF(A7="","",IF(INDEX(J7:U7,Painel!$C$6)="","",INDEX(J7:U7,Painel!$C$6)))</f>
        <v>46308</v>
      </c>
      <c r="Y7" s="42" t="str">
        <f aca="true">IF(A7="","",IF(I7&lt;&gt;"Ativo","Inativo",IF(V7=0,"Sem cobrança",IF(X7&lt;&gt;"",IF(AND(W7&lt;&gt;"",X7&gt;W7),"Pago com atraso","Pago"),IF(W7="","Sem vencimento",IF(TODAY()&gt;W7,"Em atraso","A vencer"))))))</f>
        <v>Pago</v>
      </c>
      <c r="Z7" s="43" t="str">
        <f aca="true">IF(Y7="Em atraso",TODAY()-W7,"")</f>
        <v/>
      </c>
      <c r="AA7" s="42" t="str">
        <f aca="false">IF(Y7="Em atraso",COUNTIF($Y$5:Y7,"Em atraso"),"")</f>
        <v/>
      </c>
    </row>
    <row r="8" customFormat="false" ht="15" hidden="false" customHeight="false" outlineLevel="0" collapsed="false">
      <c r="A8" s="36" t="s">
        <v>113</v>
      </c>
      <c r="B8" s="36" t="s">
        <v>66</v>
      </c>
      <c r="C8" s="36" t="s">
        <v>114</v>
      </c>
      <c r="D8" s="36" t="s">
        <v>115</v>
      </c>
      <c r="E8" s="36" t="s">
        <v>116</v>
      </c>
      <c r="F8" s="37" t="n">
        <v>250</v>
      </c>
      <c r="G8" s="36" t="n">
        <v>5</v>
      </c>
      <c r="H8" s="38" t="n">
        <v>46030</v>
      </c>
      <c r="I8" s="36" t="s">
        <v>67</v>
      </c>
      <c r="J8" s="39" t="n">
        <v>46025</v>
      </c>
      <c r="K8" s="39" t="n">
        <v>46056</v>
      </c>
      <c r="L8" s="39" t="n">
        <v>46084</v>
      </c>
      <c r="M8" s="39" t="n">
        <v>46117</v>
      </c>
      <c r="N8" s="39" t="n">
        <v>46145</v>
      </c>
      <c r="O8" s="39" t="n">
        <v>46175</v>
      </c>
      <c r="P8" s="39" t="n">
        <v>46207</v>
      </c>
      <c r="Q8" s="39" t="n">
        <v>46238</v>
      </c>
      <c r="R8" s="39" t="n">
        <v>46282</v>
      </c>
      <c r="S8" s="39"/>
      <c r="T8" s="39"/>
      <c r="U8" s="39"/>
      <c r="V8" s="40" t="n">
        <f aca="false">IF(A8="",0,IF(AND(I8="Ativo",OR(H8="",H8&lt;=EOMONTH(DATE(Painel!$C$4,Painel!$C$6,1),0))),F8,0))</f>
        <v>250</v>
      </c>
      <c r="W8" s="41" t="n">
        <f aca="false">IF(OR(V8=0,G8=""),"",DATE(Painel!$C$4,Painel!$C$6,MIN(G8,DAY(EOMONTH(DATE(Painel!$C$4,Painel!$C$6,1),0)))))</f>
        <v>46300</v>
      </c>
      <c r="X8" s="41" t="str">
        <f aca="false">IF(A8="","",IF(INDEX(J8:U8,Painel!$C$6)="","",INDEX(J8:U8,Painel!$C$6)))</f>
        <v/>
      </c>
      <c r="Y8" s="42" t="str">
        <f aca="true">IF(A8="","",IF(I8&lt;&gt;"Ativo","Inativo",IF(V8=0,"Sem cobrança",IF(X8&lt;&gt;"",IF(AND(W8&lt;&gt;"",X8&gt;W8),"Pago com atraso","Pago"),IF(W8="","Sem vencimento",IF(TODAY()&gt;W8,"Em atraso","A vencer"))))))</f>
        <v>Em atraso</v>
      </c>
      <c r="Z8" s="43" t="n">
        <f aca="true">IF(Y8="Em atraso",TODAY()-W8,"")</f>
        <v>9</v>
      </c>
      <c r="AA8" s="42" t="n">
        <f aca="false">IF(Y8="Em atraso",COUNTIF($Y$5:Y8,"Em atraso"),"")</f>
        <v>2</v>
      </c>
    </row>
    <row r="9" customFormat="false" ht="15" hidden="false" customHeight="false" outlineLevel="0" collapsed="false">
      <c r="A9" s="36" t="s">
        <v>117</v>
      </c>
      <c r="B9" s="36" t="s">
        <v>72</v>
      </c>
      <c r="C9" s="36" t="s">
        <v>118</v>
      </c>
      <c r="D9" s="36" t="s">
        <v>119</v>
      </c>
      <c r="E9" s="36" t="s">
        <v>120</v>
      </c>
      <c r="F9" s="37" t="n">
        <v>180</v>
      </c>
      <c r="G9" s="36" t="n">
        <v>10</v>
      </c>
      <c r="H9" s="38" t="n">
        <v>46083</v>
      </c>
      <c r="I9" s="36" t="s">
        <v>67</v>
      </c>
      <c r="J9" s="39"/>
      <c r="K9" s="39"/>
      <c r="L9" s="39" t="n">
        <v>46090</v>
      </c>
      <c r="M9" s="39" t="n">
        <v>46119</v>
      </c>
      <c r="N9" s="39" t="n">
        <v>46150</v>
      </c>
      <c r="O9" s="39" t="n">
        <v>46183</v>
      </c>
      <c r="P9" s="39" t="n">
        <v>46211</v>
      </c>
      <c r="Q9" s="39" t="n">
        <v>46244</v>
      </c>
      <c r="R9" s="39" t="n">
        <v>46273</v>
      </c>
      <c r="S9" s="39" t="n">
        <v>46304</v>
      </c>
      <c r="T9" s="39"/>
      <c r="U9" s="39"/>
      <c r="V9" s="40" t="n">
        <f aca="false">IF(A9="",0,IF(AND(I9="Ativo",OR(H9="",H9&lt;=EOMONTH(DATE(Painel!$C$4,Painel!$C$6,1),0))),F9,0))</f>
        <v>180</v>
      </c>
      <c r="W9" s="41" t="n">
        <f aca="false">IF(OR(V9=0,G9=""),"",DATE(Painel!$C$4,Painel!$C$6,MIN(G9,DAY(EOMONTH(DATE(Painel!$C$4,Painel!$C$6,1),0)))))</f>
        <v>46305</v>
      </c>
      <c r="X9" s="41" t="n">
        <f aca="false">IF(A9="","",IF(INDEX(J9:U9,Painel!$C$6)="","",INDEX(J9:U9,Painel!$C$6)))</f>
        <v>46304</v>
      </c>
      <c r="Y9" s="42" t="str">
        <f aca="true">IF(A9="","",IF(I9&lt;&gt;"Ativo","Inativo",IF(V9=0,"Sem cobrança",IF(X9&lt;&gt;"",IF(AND(W9&lt;&gt;"",X9&gt;W9),"Pago com atraso","Pago"),IF(W9="","Sem vencimento",IF(TODAY()&gt;W9,"Em atraso","A vencer"))))))</f>
        <v>Pago</v>
      </c>
      <c r="Z9" s="43" t="str">
        <f aca="true">IF(Y9="Em atraso",TODAY()-W9,"")</f>
        <v/>
      </c>
      <c r="AA9" s="42" t="str">
        <f aca="false">IF(Y9="Em atraso",COUNTIF($Y$5:Y9,"Em atraso"),"")</f>
        <v/>
      </c>
    </row>
    <row r="10" customFormat="false" ht="15" hidden="false" customHeight="false" outlineLevel="0" collapsed="false">
      <c r="A10" s="36" t="s">
        <v>121</v>
      </c>
      <c r="B10" s="36" t="s">
        <v>68</v>
      </c>
      <c r="C10" s="36" t="s">
        <v>122</v>
      </c>
      <c r="D10" s="36" t="s">
        <v>123</v>
      </c>
      <c r="E10" s="36" t="s">
        <v>124</v>
      </c>
      <c r="F10" s="37" t="n">
        <v>200</v>
      </c>
      <c r="G10" s="36" t="n">
        <v>20</v>
      </c>
      <c r="H10" s="38" t="n">
        <v>46037</v>
      </c>
      <c r="I10" s="36" t="s">
        <v>67</v>
      </c>
      <c r="J10" s="39" t="n">
        <v>46040</v>
      </c>
      <c r="K10" s="39" t="n">
        <v>46072</v>
      </c>
      <c r="L10" s="39" t="n">
        <v>46098</v>
      </c>
      <c r="M10" s="39" t="n">
        <v>46129</v>
      </c>
      <c r="N10" s="39" t="n">
        <v>46160</v>
      </c>
      <c r="O10" s="39" t="n">
        <v>46190</v>
      </c>
      <c r="P10" s="39" t="n">
        <v>46220</v>
      </c>
      <c r="Q10" s="39" t="n">
        <v>46253</v>
      </c>
      <c r="R10" s="39" t="n">
        <v>46293</v>
      </c>
      <c r="S10" s="39"/>
      <c r="T10" s="39"/>
      <c r="U10" s="39"/>
      <c r="V10" s="40" t="n">
        <f aca="false">IF(A10="",0,IF(AND(I10="Ativo",OR(H10="",H10&lt;=EOMONTH(DATE(Painel!$C$4,Painel!$C$6,1),0))),F10,0))</f>
        <v>200</v>
      </c>
      <c r="W10" s="41" t="n">
        <f aca="false">IF(OR(V10=0,G10=""),"",DATE(Painel!$C$4,Painel!$C$6,MIN(G10,DAY(EOMONTH(DATE(Painel!$C$4,Painel!$C$6,1),0)))))</f>
        <v>46315</v>
      </c>
      <c r="X10" s="41" t="str">
        <f aca="false">IF(A10="","",IF(INDEX(J10:U10,Painel!$C$6)="","",INDEX(J10:U10,Painel!$C$6)))</f>
        <v/>
      </c>
      <c r="Y10" s="42" t="str">
        <f aca="true">IF(A10="","",IF(I10&lt;&gt;"Ativo","Inativo",IF(V10=0,"Sem cobrança",IF(X10&lt;&gt;"",IF(AND(W10&lt;&gt;"",X10&gt;W10),"Pago com atraso","Pago"),IF(W10="","Sem vencimento",IF(TODAY()&gt;W10,"Em atraso","A vencer"))))))</f>
        <v>A vencer</v>
      </c>
      <c r="Z10" s="43" t="str">
        <f aca="true">IF(Y10="Em atraso",TODAY()-W10,"")</f>
        <v/>
      </c>
      <c r="AA10" s="42" t="str">
        <f aca="false">IF(Y10="Em atraso",COUNTIF($Y$5:Y10,"Em atraso"),"")</f>
        <v/>
      </c>
    </row>
    <row r="11" customFormat="false" ht="15" hidden="false" customHeight="false" outlineLevel="0" collapsed="false">
      <c r="A11" s="36" t="s">
        <v>125</v>
      </c>
      <c r="B11" s="36" t="s">
        <v>71</v>
      </c>
      <c r="C11" s="36" t="s">
        <v>126</v>
      </c>
      <c r="D11" s="36" t="s">
        <v>127</v>
      </c>
      <c r="E11" s="36" t="s">
        <v>128</v>
      </c>
      <c r="F11" s="37" t="n">
        <v>320</v>
      </c>
      <c r="G11" s="36" t="n">
        <v>5</v>
      </c>
      <c r="H11" s="38" t="n">
        <v>46113</v>
      </c>
      <c r="I11" s="36" t="s">
        <v>67</v>
      </c>
      <c r="J11" s="39"/>
      <c r="K11" s="39"/>
      <c r="L11" s="39"/>
      <c r="M11" s="39" t="n">
        <v>46116</v>
      </c>
      <c r="N11" s="39" t="n">
        <v>46145</v>
      </c>
      <c r="O11" s="39" t="n">
        <v>46176</v>
      </c>
      <c r="P11" s="39" t="n">
        <v>46208</v>
      </c>
      <c r="Q11" s="39" t="n">
        <v>46251</v>
      </c>
      <c r="R11" s="39" t="n">
        <v>46270</v>
      </c>
      <c r="S11" s="39"/>
      <c r="T11" s="39"/>
      <c r="U11" s="39"/>
      <c r="V11" s="40" t="n">
        <f aca="false">IF(A11="",0,IF(AND(I11="Ativo",OR(H11="",H11&lt;=EOMONTH(DATE(Painel!$C$4,Painel!$C$6,1),0))),F11,0))</f>
        <v>320</v>
      </c>
      <c r="W11" s="41" t="n">
        <f aca="false">IF(OR(V11=0,G11=""),"",DATE(Painel!$C$4,Painel!$C$6,MIN(G11,DAY(EOMONTH(DATE(Painel!$C$4,Painel!$C$6,1),0)))))</f>
        <v>46300</v>
      </c>
      <c r="X11" s="41" t="str">
        <f aca="false">IF(A11="","",IF(INDEX(J11:U11,Painel!$C$6)="","",INDEX(J11:U11,Painel!$C$6)))</f>
        <v/>
      </c>
      <c r="Y11" s="42" t="str">
        <f aca="true">IF(A11="","",IF(I11&lt;&gt;"Ativo","Inativo",IF(V11=0,"Sem cobrança",IF(X11&lt;&gt;"",IF(AND(W11&lt;&gt;"",X11&gt;W11),"Pago com atraso","Pago"),IF(W11="","Sem vencimento",IF(TODAY()&gt;W11,"Em atraso","A vencer"))))))</f>
        <v>Em atraso</v>
      </c>
      <c r="Z11" s="43" t="n">
        <f aca="true">IF(Y11="Em atraso",TODAY()-W11,"")</f>
        <v>9</v>
      </c>
      <c r="AA11" s="42" t="n">
        <f aca="false">IF(Y11="Em atraso",COUNTIF($Y$5:Y11,"Em atraso"),"")</f>
        <v>3</v>
      </c>
    </row>
    <row r="12" customFormat="false" ht="15" hidden="false" customHeight="false" outlineLevel="0" collapsed="false">
      <c r="A12" s="36" t="s">
        <v>129</v>
      </c>
      <c r="B12" s="36" t="s">
        <v>74</v>
      </c>
      <c r="C12" s="36" t="s">
        <v>130</v>
      </c>
      <c r="D12" s="36" t="s">
        <v>131</v>
      </c>
      <c r="E12" s="36" t="s">
        <v>132</v>
      </c>
      <c r="F12" s="37" t="n">
        <v>230</v>
      </c>
      <c r="G12" s="36" t="n">
        <v>10</v>
      </c>
      <c r="H12" s="38" t="n">
        <v>46042</v>
      </c>
      <c r="I12" s="36" t="s">
        <v>67</v>
      </c>
      <c r="J12" s="39" t="n">
        <v>46032</v>
      </c>
      <c r="K12" s="39" t="n">
        <v>46060</v>
      </c>
      <c r="L12" s="39" t="n">
        <v>46089</v>
      </c>
      <c r="M12" s="39" t="n">
        <v>46119</v>
      </c>
      <c r="N12" s="39" t="n">
        <v>46150</v>
      </c>
      <c r="O12" s="39" t="n">
        <v>46182</v>
      </c>
      <c r="P12" s="39" t="n">
        <v>46212</v>
      </c>
      <c r="Q12" s="39" t="n">
        <v>46244</v>
      </c>
      <c r="R12" s="39" t="n">
        <v>46272</v>
      </c>
      <c r="S12" s="39" t="n">
        <v>46305</v>
      </c>
      <c r="T12" s="39"/>
      <c r="U12" s="39"/>
      <c r="V12" s="40" t="n">
        <f aca="false">IF(A12="",0,IF(AND(I12="Ativo",OR(H12="",H12&lt;=EOMONTH(DATE(Painel!$C$4,Painel!$C$6,1),0))),F12,0))</f>
        <v>230</v>
      </c>
      <c r="W12" s="41" t="n">
        <f aca="false">IF(OR(V12=0,G12=""),"",DATE(Painel!$C$4,Painel!$C$6,MIN(G12,DAY(EOMONTH(DATE(Painel!$C$4,Painel!$C$6,1),0)))))</f>
        <v>46305</v>
      </c>
      <c r="X12" s="41" t="n">
        <f aca="false">IF(A12="","",IF(INDEX(J12:U12,Painel!$C$6)="","",INDEX(J12:U12,Painel!$C$6)))</f>
        <v>46305</v>
      </c>
      <c r="Y12" s="42" t="str">
        <f aca="true">IF(A12="","",IF(I12&lt;&gt;"Ativo","Inativo",IF(V12=0,"Sem cobrança",IF(X12&lt;&gt;"",IF(AND(W12&lt;&gt;"",X12&gt;W12),"Pago com atraso","Pago"),IF(W12="","Sem vencimento",IF(TODAY()&gt;W12,"Em atraso","A vencer"))))))</f>
        <v>Pago</v>
      </c>
      <c r="Z12" s="43" t="str">
        <f aca="true">IF(Y12="Em atraso",TODAY()-W12,"")</f>
        <v/>
      </c>
      <c r="AA12" s="42" t="str">
        <f aca="false">IF(Y12="Em atraso",COUNTIF($Y$5:Y12,"Em atraso"),"")</f>
        <v/>
      </c>
    </row>
    <row r="13" customFormat="false" ht="15" hidden="false" customHeight="false" outlineLevel="0" collapsed="false">
      <c r="A13" s="36" t="s">
        <v>133</v>
      </c>
      <c r="B13" s="36" t="s">
        <v>70</v>
      </c>
      <c r="C13" s="36" t="s">
        <v>134</v>
      </c>
      <c r="D13" s="36" t="s">
        <v>135</v>
      </c>
      <c r="E13" s="36" t="s">
        <v>136</v>
      </c>
      <c r="F13" s="37" t="n">
        <v>390</v>
      </c>
      <c r="G13" s="36" t="n">
        <v>5</v>
      </c>
      <c r="H13" s="38" t="n">
        <v>46174</v>
      </c>
      <c r="I13" s="36" t="s">
        <v>67</v>
      </c>
      <c r="J13" s="39"/>
      <c r="K13" s="39"/>
      <c r="L13" s="39"/>
      <c r="M13" s="39"/>
      <c r="N13" s="39"/>
      <c r="O13" s="39" t="n">
        <v>46177</v>
      </c>
      <c r="P13" s="39" t="n">
        <v>46205</v>
      </c>
      <c r="Q13" s="39" t="n">
        <v>46237</v>
      </c>
      <c r="R13" s="39" t="n">
        <v>46269</v>
      </c>
      <c r="S13" s="39" t="n">
        <v>46298</v>
      </c>
      <c r="T13" s="39"/>
      <c r="U13" s="39"/>
      <c r="V13" s="40" t="n">
        <f aca="false">IF(A13="",0,IF(AND(I13="Ativo",OR(H13="",H13&lt;=EOMONTH(DATE(Painel!$C$4,Painel!$C$6,1),0))),F13,0))</f>
        <v>390</v>
      </c>
      <c r="W13" s="41" t="n">
        <f aca="false">IF(OR(V13=0,G13=""),"",DATE(Painel!$C$4,Painel!$C$6,MIN(G13,DAY(EOMONTH(DATE(Painel!$C$4,Painel!$C$6,1),0)))))</f>
        <v>46300</v>
      </c>
      <c r="X13" s="41" t="n">
        <f aca="false">IF(A13="","",IF(INDEX(J13:U13,Painel!$C$6)="","",INDEX(J13:U13,Painel!$C$6)))</f>
        <v>46298</v>
      </c>
      <c r="Y13" s="42" t="str">
        <f aca="true">IF(A13="","",IF(I13&lt;&gt;"Ativo","Inativo",IF(V13=0,"Sem cobrança",IF(X13&lt;&gt;"",IF(AND(W13&lt;&gt;"",X13&gt;W13),"Pago com atraso","Pago"),IF(W13="","Sem vencimento",IF(TODAY()&gt;W13,"Em atraso","A vencer"))))))</f>
        <v>Pago</v>
      </c>
      <c r="Z13" s="43" t="str">
        <f aca="true">IF(Y13="Em atraso",TODAY()-W13,"")</f>
        <v/>
      </c>
      <c r="AA13" s="42" t="str">
        <f aca="false">IF(Y13="Em atraso",COUNTIF($Y$5:Y13,"Em atraso"),"")</f>
        <v/>
      </c>
    </row>
    <row r="14" customFormat="false" ht="15" hidden="false" customHeight="false" outlineLevel="0" collapsed="false">
      <c r="A14" s="36" t="s">
        <v>137</v>
      </c>
      <c r="B14" s="36" t="s">
        <v>66</v>
      </c>
      <c r="C14" s="36" t="s">
        <v>138</v>
      </c>
      <c r="D14" s="36" t="s">
        <v>139</v>
      </c>
      <c r="E14" s="36" t="s">
        <v>140</v>
      </c>
      <c r="F14" s="37" t="n">
        <v>250</v>
      </c>
      <c r="G14" s="36" t="n">
        <v>15</v>
      </c>
      <c r="H14" s="38" t="n">
        <v>46063</v>
      </c>
      <c r="I14" s="36" t="s">
        <v>67</v>
      </c>
      <c r="J14" s="39"/>
      <c r="K14" s="39" t="n">
        <v>46066</v>
      </c>
      <c r="L14" s="39" t="n">
        <v>46093</v>
      </c>
      <c r="M14" s="39" t="n">
        <v>46125</v>
      </c>
      <c r="N14" s="39" t="n">
        <v>46156</v>
      </c>
      <c r="O14" s="39" t="n">
        <v>46186</v>
      </c>
      <c r="P14" s="39" t="n">
        <v>46218</v>
      </c>
      <c r="Q14" s="39" t="n">
        <v>46249</v>
      </c>
      <c r="R14" s="39" t="n">
        <v>46279</v>
      </c>
      <c r="S14" s="39"/>
      <c r="T14" s="39"/>
      <c r="U14" s="39"/>
      <c r="V14" s="40" t="n">
        <f aca="false">IF(A14="",0,IF(AND(I14="Ativo",OR(H14="",H14&lt;=EOMONTH(DATE(Painel!$C$4,Painel!$C$6,1),0))),F14,0))</f>
        <v>250</v>
      </c>
      <c r="W14" s="41" t="n">
        <f aca="false">IF(OR(V14=0,G14=""),"",DATE(Painel!$C$4,Painel!$C$6,MIN(G14,DAY(EOMONTH(DATE(Painel!$C$4,Painel!$C$6,1),0)))))</f>
        <v>46310</v>
      </c>
      <c r="X14" s="41" t="str">
        <f aca="false">IF(A14="","",IF(INDEX(J14:U14,Painel!$C$6)="","",INDEX(J14:U14,Painel!$C$6)))</f>
        <v/>
      </c>
      <c r="Y14" s="42" t="str">
        <f aca="true">IF(A14="","",IF(I14&lt;&gt;"Ativo","Inativo",IF(V14=0,"Sem cobrança",IF(X14&lt;&gt;"",IF(AND(W14&lt;&gt;"",X14&gt;W14),"Pago com atraso","Pago"),IF(W14="","Sem vencimento",IF(TODAY()&gt;W14,"Em atraso","A vencer"))))))</f>
        <v>A vencer</v>
      </c>
      <c r="Z14" s="43" t="str">
        <f aca="true">IF(Y14="Em atraso",TODAY()-W14,"")</f>
        <v/>
      </c>
      <c r="AA14" s="42" t="str">
        <f aca="false">IF(Y14="Em atraso",COUNTIF($Y$5:Y14,"Em atraso"),"")</f>
        <v/>
      </c>
    </row>
    <row r="15" customFormat="false" ht="15" hidden="false" customHeight="false" outlineLevel="0" collapsed="false">
      <c r="A15" s="36"/>
      <c r="B15" s="36"/>
      <c r="C15" s="36"/>
      <c r="D15" s="36"/>
      <c r="E15" s="36"/>
      <c r="F15" s="37"/>
      <c r="G15" s="36"/>
      <c r="H15" s="38"/>
      <c r="I15" s="36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0" t="n">
        <f aca="false">IF(A15="",0,IF(AND(I15="Ativo",OR(H15="",H15&lt;=EOMONTH(DATE(Painel!$C$4,Painel!$C$6,1),0))),F15,0))</f>
        <v>0</v>
      </c>
      <c r="W15" s="41" t="str">
        <f aca="false">IF(OR(V15=0,G15=""),"",DATE(Painel!$C$4,Painel!$C$6,MIN(G15,DAY(EOMONTH(DATE(Painel!$C$4,Painel!$C$6,1),0)))))</f>
        <v/>
      </c>
      <c r="X15" s="41" t="str">
        <f aca="false">IF(A15="","",IF(INDEX(J15:U15,Painel!$C$6)="","",INDEX(J15:U15,Painel!$C$6)))</f>
        <v/>
      </c>
      <c r="Y15" s="42" t="str">
        <f aca="true">IF(A15="","",IF(I15&lt;&gt;"Ativo","Inativo",IF(V15=0,"Sem cobrança",IF(X15&lt;&gt;"",IF(AND(W15&lt;&gt;"",X15&gt;W15),"Pago com atraso","Pago"),IF(W15="","Sem vencimento",IF(TODAY()&gt;W15,"Em atraso","A vencer"))))))</f>
        <v/>
      </c>
      <c r="Z15" s="43" t="str">
        <f aca="true">IF(Y15="Em atraso",TODAY()-W15,"")</f>
        <v/>
      </c>
      <c r="AA15" s="42" t="str">
        <f aca="false">IF(Y15="Em atraso",COUNTIF($Y$5:Y15,"Em atraso"),"")</f>
        <v/>
      </c>
    </row>
    <row r="16" customFormat="false" ht="15" hidden="false" customHeight="false" outlineLevel="0" collapsed="false">
      <c r="A16" s="36"/>
      <c r="B16" s="36"/>
      <c r="C16" s="36"/>
      <c r="D16" s="36"/>
      <c r="E16" s="36"/>
      <c r="F16" s="37"/>
      <c r="G16" s="36"/>
      <c r="H16" s="38"/>
      <c r="I16" s="36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0" t="n">
        <f aca="false">IF(A16="",0,IF(AND(I16="Ativo",OR(H16="",H16&lt;=EOMONTH(DATE(Painel!$C$4,Painel!$C$6,1),0))),F16,0))</f>
        <v>0</v>
      </c>
      <c r="W16" s="41" t="str">
        <f aca="false">IF(OR(V16=0,G16=""),"",DATE(Painel!$C$4,Painel!$C$6,MIN(G16,DAY(EOMONTH(DATE(Painel!$C$4,Painel!$C$6,1),0)))))</f>
        <v/>
      </c>
      <c r="X16" s="41" t="str">
        <f aca="false">IF(A16="","",IF(INDEX(J16:U16,Painel!$C$6)="","",INDEX(J16:U16,Painel!$C$6)))</f>
        <v/>
      </c>
      <c r="Y16" s="42" t="str">
        <f aca="true">IF(A16="","",IF(I16&lt;&gt;"Ativo","Inativo",IF(V16=0,"Sem cobrança",IF(X16&lt;&gt;"",IF(AND(W16&lt;&gt;"",X16&gt;W16),"Pago com atraso","Pago"),IF(W16="","Sem vencimento",IF(TODAY()&gt;W16,"Em atraso","A vencer"))))))</f>
        <v/>
      </c>
      <c r="Z16" s="43" t="str">
        <f aca="true">IF(Y16="Em atraso",TODAY()-W16,"")</f>
        <v/>
      </c>
      <c r="AA16" s="42" t="str">
        <f aca="false">IF(Y16="Em atraso",COUNTIF($Y$5:Y16,"Em atraso"),"")</f>
        <v/>
      </c>
    </row>
    <row r="17" customFormat="false" ht="15" hidden="false" customHeight="false" outlineLevel="0" collapsed="false">
      <c r="A17" s="36"/>
      <c r="B17" s="36"/>
      <c r="C17" s="36"/>
      <c r="D17" s="36"/>
      <c r="E17" s="36"/>
      <c r="F17" s="37"/>
      <c r="G17" s="36"/>
      <c r="H17" s="38"/>
      <c r="I17" s="36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40" t="n">
        <f aca="false">IF(A17="",0,IF(AND(I17="Ativo",OR(H17="",H17&lt;=EOMONTH(DATE(Painel!$C$4,Painel!$C$6,1),0))),F17,0))</f>
        <v>0</v>
      </c>
      <c r="W17" s="41" t="str">
        <f aca="false">IF(OR(V17=0,G17=""),"",DATE(Painel!$C$4,Painel!$C$6,MIN(G17,DAY(EOMONTH(DATE(Painel!$C$4,Painel!$C$6,1),0)))))</f>
        <v/>
      </c>
      <c r="X17" s="41" t="str">
        <f aca="false">IF(A17="","",IF(INDEX(J17:U17,Painel!$C$6)="","",INDEX(J17:U17,Painel!$C$6)))</f>
        <v/>
      </c>
      <c r="Y17" s="42" t="str">
        <f aca="true">IF(A17="","",IF(I17&lt;&gt;"Ativo","Inativo",IF(V17=0,"Sem cobrança",IF(X17&lt;&gt;"",IF(AND(W17&lt;&gt;"",X17&gt;W17),"Pago com atraso","Pago"),IF(W17="","Sem vencimento",IF(TODAY()&gt;W17,"Em atraso","A vencer"))))))</f>
        <v/>
      </c>
      <c r="Z17" s="43" t="str">
        <f aca="true">IF(Y17="Em atraso",TODAY()-W17,"")</f>
        <v/>
      </c>
      <c r="AA17" s="42" t="str">
        <f aca="false">IF(Y17="Em atraso",COUNTIF($Y$5:Y17,"Em atraso"),"")</f>
        <v/>
      </c>
    </row>
    <row r="18" customFormat="false" ht="15" hidden="false" customHeight="false" outlineLevel="0" collapsed="false">
      <c r="A18" s="36"/>
      <c r="B18" s="36"/>
      <c r="C18" s="36"/>
      <c r="D18" s="36"/>
      <c r="E18" s="36"/>
      <c r="F18" s="37"/>
      <c r="G18" s="36"/>
      <c r="H18" s="38"/>
      <c r="I18" s="36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40" t="n">
        <f aca="false">IF(A18="",0,IF(AND(I18="Ativo",OR(H18="",H18&lt;=EOMONTH(DATE(Painel!$C$4,Painel!$C$6,1),0))),F18,0))</f>
        <v>0</v>
      </c>
      <c r="W18" s="41" t="str">
        <f aca="false">IF(OR(V18=0,G18=""),"",DATE(Painel!$C$4,Painel!$C$6,MIN(G18,DAY(EOMONTH(DATE(Painel!$C$4,Painel!$C$6,1),0)))))</f>
        <v/>
      </c>
      <c r="X18" s="41" t="str">
        <f aca="false">IF(A18="","",IF(INDEX(J18:U18,Painel!$C$6)="","",INDEX(J18:U18,Painel!$C$6)))</f>
        <v/>
      </c>
      <c r="Y18" s="42" t="str">
        <f aca="true">IF(A18="","",IF(I18&lt;&gt;"Ativo","Inativo",IF(V18=0,"Sem cobrança",IF(X18&lt;&gt;"",IF(AND(W18&lt;&gt;"",X18&gt;W18),"Pago com atraso","Pago"),IF(W18="","Sem vencimento",IF(TODAY()&gt;W18,"Em atraso","A vencer"))))))</f>
        <v/>
      </c>
      <c r="Z18" s="43" t="str">
        <f aca="true">IF(Y18="Em atraso",TODAY()-W18,"")</f>
        <v/>
      </c>
      <c r="AA18" s="42" t="str">
        <f aca="false">IF(Y18="Em atraso",COUNTIF($Y$5:Y18,"Em atraso"),"")</f>
        <v/>
      </c>
    </row>
    <row r="19" customFormat="false" ht="15" hidden="false" customHeight="false" outlineLevel="0" collapsed="false">
      <c r="A19" s="36"/>
      <c r="B19" s="36"/>
      <c r="C19" s="36"/>
      <c r="D19" s="36"/>
      <c r="E19" s="36"/>
      <c r="F19" s="37"/>
      <c r="G19" s="36"/>
      <c r="H19" s="38"/>
      <c r="I19" s="36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40" t="n">
        <f aca="false">IF(A19="",0,IF(AND(I19="Ativo",OR(H19="",H19&lt;=EOMONTH(DATE(Painel!$C$4,Painel!$C$6,1),0))),F19,0))</f>
        <v>0</v>
      </c>
      <c r="W19" s="41" t="str">
        <f aca="false">IF(OR(V19=0,G19=""),"",DATE(Painel!$C$4,Painel!$C$6,MIN(G19,DAY(EOMONTH(DATE(Painel!$C$4,Painel!$C$6,1),0)))))</f>
        <v/>
      </c>
      <c r="X19" s="41" t="str">
        <f aca="false">IF(A19="","",IF(INDEX(J19:U19,Painel!$C$6)="","",INDEX(J19:U19,Painel!$C$6)))</f>
        <v/>
      </c>
      <c r="Y19" s="42" t="str">
        <f aca="true">IF(A19="","",IF(I19&lt;&gt;"Ativo","Inativo",IF(V19=0,"Sem cobrança",IF(X19&lt;&gt;"",IF(AND(W19&lt;&gt;"",X19&gt;W19),"Pago com atraso","Pago"),IF(W19="","Sem vencimento",IF(TODAY()&gt;W19,"Em atraso","A vencer"))))))</f>
        <v/>
      </c>
      <c r="Z19" s="43" t="str">
        <f aca="true">IF(Y19="Em atraso",TODAY()-W19,"")</f>
        <v/>
      </c>
      <c r="AA19" s="42" t="str">
        <f aca="false">IF(Y19="Em atraso",COUNTIF($Y$5:Y19,"Em atraso"),"")</f>
        <v/>
      </c>
    </row>
    <row r="20" customFormat="false" ht="15" hidden="false" customHeight="false" outlineLevel="0" collapsed="false">
      <c r="A20" s="36"/>
      <c r="B20" s="36"/>
      <c r="C20" s="36"/>
      <c r="D20" s="36"/>
      <c r="E20" s="36"/>
      <c r="F20" s="37"/>
      <c r="G20" s="36"/>
      <c r="H20" s="38"/>
      <c r="I20" s="36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0" t="n">
        <f aca="false">IF(A20="",0,IF(AND(I20="Ativo",OR(H20="",H20&lt;=EOMONTH(DATE(Painel!$C$4,Painel!$C$6,1),0))),F20,0))</f>
        <v>0</v>
      </c>
      <c r="W20" s="41" t="str">
        <f aca="false">IF(OR(V20=0,G20=""),"",DATE(Painel!$C$4,Painel!$C$6,MIN(G20,DAY(EOMONTH(DATE(Painel!$C$4,Painel!$C$6,1),0)))))</f>
        <v/>
      </c>
      <c r="X20" s="41" t="str">
        <f aca="false">IF(A20="","",IF(INDEX(J20:U20,Painel!$C$6)="","",INDEX(J20:U20,Painel!$C$6)))</f>
        <v/>
      </c>
      <c r="Y20" s="42" t="str">
        <f aca="true">IF(A20="","",IF(I20&lt;&gt;"Ativo","Inativo",IF(V20=0,"Sem cobrança",IF(X20&lt;&gt;"",IF(AND(W20&lt;&gt;"",X20&gt;W20),"Pago com atraso","Pago"),IF(W20="","Sem vencimento",IF(TODAY()&gt;W20,"Em atraso","A vencer"))))))</f>
        <v/>
      </c>
      <c r="Z20" s="43" t="str">
        <f aca="true">IF(Y20="Em atraso",TODAY()-W20,"")</f>
        <v/>
      </c>
      <c r="AA20" s="42" t="str">
        <f aca="false">IF(Y20="Em atraso",COUNTIF($Y$5:Y20,"Em atraso"),"")</f>
        <v/>
      </c>
    </row>
    <row r="21" customFormat="false" ht="15" hidden="false" customHeight="false" outlineLevel="0" collapsed="false">
      <c r="A21" s="36"/>
      <c r="B21" s="36"/>
      <c r="C21" s="36"/>
      <c r="D21" s="36"/>
      <c r="E21" s="36"/>
      <c r="F21" s="37"/>
      <c r="G21" s="36"/>
      <c r="H21" s="38"/>
      <c r="I21" s="36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40" t="n">
        <f aca="false">IF(A21="",0,IF(AND(I21="Ativo",OR(H21="",H21&lt;=EOMONTH(DATE(Painel!$C$4,Painel!$C$6,1),0))),F21,0))</f>
        <v>0</v>
      </c>
      <c r="W21" s="41" t="str">
        <f aca="false">IF(OR(V21=0,G21=""),"",DATE(Painel!$C$4,Painel!$C$6,MIN(G21,DAY(EOMONTH(DATE(Painel!$C$4,Painel!$C$6,1),0)))))</f>
        <v/>
      </c>
      <c r="X21" s="41" t="str">
        <f aca="false">IF(A21="","",IF(INDEX(J21:U21,Painel!$C$6)="","",INDEX(J21:U21,Painel!$C$6)))</f>
        <v/>
      </c>
      <c r="Y21" s="42" t="str">
        <f aca="true">IF(A21="","",IF(I21&lt;&gt;"Ativo","Inativo",IF(V21=0,"Sem cobrança",IF(X21&lt;&gt;"",IF(AND(W21&lt;&gt;"",X21&gt;W21),"Pago com atraso","Pago"),IF(W21="","Sem vencimento",IF(TODAY()&gt;W21,"Em atraso","A vencer"))))))</f>
        <v/>
      </c>
      <c r="Z21" s="43" t="str">
        <f aca="true">IF(Y21="Em atraso",TODAY()-W21,"")</f>
        <v/>
      </c>
      <c r="AA21" s="42" t="str">
        <f aca="false">IF(Y21="Em atraso",COUNTIF($Y$5:Y21,"Em atraso"),"")</f>
        <v/>
      </c>
    </row>
    <row r="22" customFormat="false" ht="15" hidden="false" customHeight="false" outlineLevel="0" collapsed="false">
      <c r="A22" s="36"/>
      <c r="B22" s="36"/>
      <c r="C22" s="36"/>
      <c r="D22" s="36"/>
      <c r="E22" s="36"/>
      <c r="F22" s="37"/>
      <c r="G22" s="36"/>
      <c r="H22" s="38"/>
      <c r="I22" s="36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40" t="n">
        <f aca="false">IF(A22="",0,IF(AND(I22="Ativo",OR(H22="",H22&lt;=EOMONTH(DATE(Painel!$C$4,Painel!$C$6,1),0))),F22,0))</f>
        <v>0</v>
      </c>
      <c r="W22" s="41" t="str">
        <f aca="false">IF(OR(V22=0,G22=""),"",DATE(Painel!$C$4,Painel!$C$6,MIN(G22,DAY(EOMONTH(DATE(Painel!$C$4,Painel!$C$6,1),0)))))</f>
        <v/>
      </c>
      <c r="X22" s="41" t="str">
        <f aca="false">IF(A22="","",IF(INDEX(J22:U22,Painel!$C$6)="","",INDEX(J22:U22,Painel!$C$6)))</f>
        <v/>
      </c>
      <c r="Y22" s="42" t="str">
        <f aca="true">IF(A22="","",IF(I22&lt;&gt;"Ativo","Inativo",IF(V22=0,"Sem cobrança",IF(X22&lt;&gt;"",IF(AND(W22&lt;&gt;"",X22&gt;W22),"Pago com atraso","Pago"),IF(W22="","Sem vencimento",IF(TODAY()&gt;W22,"Em atraso","A vencer"))))))</f>
        <v/>
      </c>
      <c r="Z22" s="43" t="str">
        <f aca="true">IF(Y22="Em atraso",TODAY()-W22,"")</f>
        <v/>
      </c>
      <c r="AA22" s="42" t="str">
        <f aca="false">IF(Y22="Em atraso",COUNTIF($Y$5:Y22,"Em atraso"),"")</f>
        <v/>
      </c>
    </row>
    <row r="23" customFormat="false" ht="15" hidden="false" customHeight="false" outlineLevel="0" collapsed="false">
      <c r="A23" s="36"/>
      <c r="B23" s="36"/>
      <c r="C23" s="36"/>
      <c r="D23" s="36"/>
      <c r="E23" s="36"/>
      <c r="F23" s="37"/>
      <c r="G23" s="36"/>
      <c r="H23" s="38"/>
      <c r="I23" s="36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40" t="n">
        <f aca="false">IF(A23="",0,IF(AND(I23="Ativo",OR(H23="",H23&lt;=EOMONTH(DATE(Painel!$C$4,Painel!$C$6,1),0))),F23,0))</f>
        <v>0</v>
      </c>
      <c r="W23" s="41" t="str">
        <f aca="false">IF(OR(V23=0,G23=""),"",DATE(Painel!$C$4,Painel!$C$6,MIN(G23,DAY(EOMONTH(DATE(Painel!$C$4,Painel!$C$6,1),0)))))</f>
        <v/>
      </c>
      <c r="X23" s="41" t="str">
        <f aca="false">IF(A23="","",IF(INDEX(J23:U23,Painel!$C$6)="","",INDEX(J23:U23,Painel!$C$6)))</f>
        <v/>
      </c>
      <c r="Y23" s="42" t="str">
        <f aca="true">IF(A23="","",IF(I23&lt;&gt;"Ativo","Inativo",IF(V23=0,"Sem cobrança",IF(X23&lt;&gt;"",IF(AND(W23&lt;&gt;"",X23&gt;W23),"Pago com atraso","Pago"),IF(W23="","Sem vencimento",IF(TODAY()&gt;W23,"Em atraso","A vencer"))))))</f>
        <v/>
      </c>
      <c r="Z23" s="43" t="str">
        <f aca="true">IF(Y23="Em atraso",TODAY()-W23,"")</f>
        <v/>
      </c>
      <c r="AA23" s="42" t="str">
        <f aca="false">IF(Y23="Em atraso",COUNTIF($Y$5:Y23,"Em atraso"),"")</f>
        <v/>
      </c>
    </row>
    <row r="24" customFormat="false" ht="15" hidden="false" customHeight="false" outlineLevel="0" collapsed="false">
      <c r="A24" s="36"/>
      <c r="B24" s="36"/>
      <c r="C24" s="36"/>
      <c r="D24" s="36"/>
      <c r="E24" s="36"/>
      <c r="F24" s="37"/>
      <c r="G24" s="36"/>
      <c r="H24" s="38"/>
      <c r="I24" s="36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40" t="n">
        <f aca="false">IF(A24="",0,IF(AND(I24="Ativo",OR(H24="",H24&lt;=EOMONTH(DATE(Painel!$C$4,Painel!$C$6,1),0))),F24,0))</f>
        <v>0</v>
      </c>
      <c r="W24" s="41" t="str">
        <f aca="false">IF(OR(V24=0,G24=""),"",DATE(Painel!$C$4,Painel!$C$6,MIN(G24,DAY(EOMONTH(DATE(Painel!$C$4,Painel!$C$6,1),0)))))</f>
        <v/>
      </c>
      <c r="X24" s="41" t="str">
        <f aca="false">IF(A24="","",IF(INDEX(J24:U24,Painel!$C$6)="","",INDEX(J24:U24,Painel!$C$6)))</f>
        <v/>
      </c>
      <c r="Y24" s="42" t="str">
        <f aca="true">IF(A24="","",IF(I24&lt;&gt;"Ativo","Inativo",IF(V24=0,"Sem cobrança",IF(X24&lt;&gt;"",IF(AND(W24&lt;&gt;"",X24&gt;W24),"Pago com atraso","Pago"),IF(W24="","Sem vencimento",IF(TODAY()&gt;W24,"Em atraso","A vencer"))))))</f>
        <v/>
      </c>
      <c r="Z24" s="43" t="str">
        <f aca="true">IF(Y24="Em atraso",TODAY()-W24,"")</f>
        <v/>
      </c>
      <c r="AA24" s="42" t="str">
        <f aca="false">IF(Y24="Em atraso",COUNTIF($Y$5:Y24,"Em atraso"),"")</f>
        <v/>
      </c>
    </row>
    <row r="25" customFormat="false" ht="15" hidden="false" customHeight="false" outlineLevel="0" collapsed="false">
      <c r="A25" s="36"/>
      <c r="B25" s="36"/>
      <c r="C25" s="36"/>
      <c r="D25" s="36"/>
      <c r="E25" s="36"/>
      <c r="F25" s="37"/>
      <c r="G25" s="36"/>
      <c r="H25" s="38"/>
      <c r="I25" s="36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40" t="n">
        <f aca="false">IF(A25="",0,IF(AND(I25="Ativo",OR(H25="",H25&lt;=EOMONTH(DATE(Painel!$C$4,Painel!$C$6,1),0))),F25,0))</f>
        <v>0</v>
      </c>
      <c r="W25" s="41" t="str">
        <f aca="false">IF(OR(V25=0,G25=""),"",DATE(Painel!$C$4,Painel!$C$6,MIN(G25,DAY(EOMONTH(DATE(Painel!$C$4,Painel!$C$6,1),0)))))</f>
        <v/>
      </c>
      <c r="X25" s="41" t="str">
        <f aca="false">IF(A25="","",IF(INDEX(J25:U25,Painel!$C$6)="","",INDEX(J25:U25,Painel!$C$6)))</f>
        <v/>
      </c>
      <c r="Y25" s="42" t="str">
        <f aca="true">IF(A25="","",IF(I25&lt;&gt;"Ativo","Inativo",IF(V25=0,"Sem cobrança",IF(X25&lt;&gt;"",IF(AND(W25&lt;&gt;"",X25&gt;W25),"Pago com atraso","Pago"),IF(W25="","Sem vencimento",IF(TODAY()&gt;W25,"Em atraso","A vencer"))))))</f>
        <v/>
      </c>
      <c r="Z25" s="43" t="str">
        <f aca="true">IF(Y25="Em atraso",TODAY()-W25,"")</f>
        <v/>
      </c>
      <c r="AA25" s="42" t="str">
        <f aca="false">IF(Y25="Em atraso",COUNTIF($Y$5:Y25,"Em atraso"),"")</f>
        <v/>
      </c>
    </row>
    <row r="26" customFormat="false" ht="15" hidden="false" customHeight="false" outlineLevel="0" collapsed="false">
      <c r="A26" s="36"/>
      <c r="B26" s="36"/>
      <c r="C26" s="36"/>
      <c r="D26" s="36"/>
      <c r="E26" s="36"/>
      <c r="F26" s="37"/>
      <c r="G26" s="36"/>
      <c r="H26" s="38"/>
      <c r="I26" s="36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40" t="n">
        <f aca="false">IF(A26="",0,IF(AND(I26="Ativo",OR(H26="",H26&lt;=EOMONTH(DATE(Painel!$C$4,Painel!$C$6,1),0))),F26,0))</f>
        <v>0</v>
      </c>
      <c r="W26" s="41" t="str">
        <f aca="false">IF(OR(V26=0,G26=""),"",DATE(Painel!$C$4,Painel!$C$6,MIN(G26,DAY(EOMONTH(DATE(Painel!$C$4,Painel!$C$6,1),0)))))</f>
        <v/>
      </c>
      <c r="X26" s="41" t="str">
        <f aca="false">IF(A26="","",IF(INDEX(J26:U26,Painel!$C$6)="","",INDEX(J26:U26,Painel!$C$6)))</f>
        <v/>
      </c>
      <c r="Y26" s="42" t="str">
        <f aca="true">IF(A26="","",IF(I26&lt;&gt;"Ativo","Inativo",IF(V26=0,"Sem cobrança",IF(X26&lt;&gt;"",IF(AND(W26&lt;&gt;"",X26&gt;W26),"Pago com atraso","Pago"),IF(W26="","Sem vencimento",IF(TODAY()&gt;W26,"Em atraso","A vencer"))))))</f>
        <v/>
      </c>
      <c r="Z26" s="43" t="str">
        <f aca="true">IF(Y26="Em atraso",TODAY()-W26,"")</f>
        <v/>
      </c>
      <c r="AA26" s="42" t="str">
        <f aca="false">IF(Y26="Em atraso",COUNTIF($Y$5:Y26,"Em atraso"),"")</f>
        <v/>
      </c>
    </row>
    <row r="27" customFormat="false" ht="15" hidden="false" customHeight="false" outlineLevel="0" collapsed="false">
      <c r="A27" s="36"/>
      <c r="B27" s="36"/>
      <c r="C27" s="36"/>
      <c r="D27" s="36"/>
      <c r="E27" s="36"/>
      <c r="F27" s="37"/>
      <c r="G27" s="36"/>
      <c r="H27" s="38"/>
      <c r="I27" s="36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40" t="n">
        <f aca="false">IF(A27="",0,IF(AND(I27="Ativo",OR(H27="",H27&lt;=EOMONTH(DATE(Painel!$C$4,Painel!$C$6,1),0))),F27,0))</f>
        <v>0</v>
      </c>
      <c r="W27" s="41" t="str">
        <f aca="false">IF(OR(V27=0,G27=""),"",DATE(Painel!$C$4,Painel!$C$6,MIN(G27,DAY(EOMONTH(DATE(Painel!$C$4,Painel!$C$6,1),0)))))</f>
        <v/>
      </c>
      <c r="X27" s="41" t="str">
        <f aca="false">IF(A27="","",IF(INDEX(J27:U27,Painel!$C$6)="","",INDEX(J27:U27,Painel!$C$6)))</f>
        <v/>
      </c>
      <c r="Y27" s="42" t="str">
        <f aca="true">IF(A27="","",IF(I27&lt;&gt;"Ativo","Inativo",IF(V27=0,"Sem cobrança",IF(X27&lt;&gt;"",IF(AND(W27&lt;&gt;"",X27&gt;W27),"Pago com atraso","Pago"),IF(W27="","Sem vencimento",IF(TODAY()&gt;W27,"Em atraso","A vencer"))))))</f>
        <v/>
      </c>
      <c r="Z27" s="43" t="str">
        <f aca="true">IF(Y27="Em atraso",TODAY()-W27,"")</f>
        <v/>
      </c>
      <c r="AA27" s="42" t="str">
        <f aca="false">IF(Y27="Em atraso",COUNTIF($Y$5:Y27,"Em atraso"),"")</f>
        <v/>
      </c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37"/>
      <c r="G28" s="36"/>
      <c r="H28" s="38"/>
      <c r="I28" s="36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40" t="n">
        <f aca="false">IF(A28="",0,IF(AND(I28="Ativo",OR(H28="",H28&lt;=EOMONTH(DATE(Painel!$C$4,Painel!$C$6,1),0))),F28,0))</f>
        <v>0</v>
      </c>
      <c r="W28" s="41" t="str">
        <f aca="false">IF(OR(V28=0,G28=""),"",DATE(Painel!$C$4,Painel!$C$6,MIN(G28,DAY(EOMONTH(DATE(Painel!$C$4,Painel!$C$6,1),0)))))</f>
        <v/>
      </c>
      <c r="X28" s="41" t="str">
        <f aca="false">IF(A28="","",IF(INDEX(J28:U28,Painel!$C$6)="","",INDEX(J28:U28,Painel!$C$6)))</f>
        <v/>
      </c>
      <c r="Y28" s="42" t="str">
        <f aca="true">IF(A28="","",IF(I28&lt;&gt;"Ativo","Inativo",IF(V28=0,"Sem cobrança",IF(X28&lt;&gt;"",IF(AND(W28&lt;&gt;"",X28&gt;W28),"Pago com atraso","Pago"),IF(W28="","Sem vencimento",IF(TODAY()&gt;W28,"Em atraso","A vencer"))))))</f>
        <v/>
      </c>
      <c r="Z28" s="43" t="str">
        <f aca="true">IF(Y28="Em atraso",TODAY()-W28,"")</f>
        <v/>
      </c>
      <c r="AA28" s="42" t="str">
        <f aca="false">IF(Y28="Em atraso",COUNTIF($Y$5:Y28,"Em atraso"),"")</f>
        <v/>
      </c>
    </row>
    <row r="29" customFormat="false" ht="15" hidden="false" customHeight="false" outlineLevel="0" collapsed="false">
      <c r="A29" s="36"/>
      <c r="B29" s="36"/>
      <c r="C29" s="36"/>
      <c r="D29" s="36"/>
      <c r="E29" s="36"/>
      <c r="F29" s="37"/>
      <c r="G29" s="36"/>
      <c r="H29" s="38"/>
      <c r="I29" s="36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40" t="n">
        <f aca="false">IF(A29="",0,IF(AND(I29="Ativo",OR(H29="",H29&lt;=EOMONTH(DATE(Painel!$C$4,Painel!$C$6,1),0))),F29,0))</f>
        <v>0</v>
      </c>
      <c r="W29" s="41" t="str">
        <f aca="false">IF(OR(V29=0,G29=""),"",DATE(Painel!$C$4,Painel!$C$6,MIN(G29,DAY(EOMONTH(DATE(Painel!$C$4,Painel!$C$6,1),0)))))</f>
        <v/>
      </c>
      <c r="X29" s="41" t="str">
        <f aca="false">IF(A29="","",IF(INDEX(J29:U29,Painel!$C$6)="","",INDEX(J29:U29,Painel!$C$6)))</f>
        <v/>
      </c>
      <c r="Y29" s="42" t="str">
        <f aca="true">IF(A29="","",IF(I29&lt;&gt;"Ativo","Inativo",IF(V29=0,"Sem cobrança",IF(X29&lt;&gt;"",IF(AND(W29&lt;&gt;"",X29&gt;W29),"Pago com atraso","Pago"),IF(W29="","Sem vencimento",IF(TODAY()&gt;W29,"Em atraso","A vencer"))))))</f>
        <v/>
      </c>
      <c r="Z29" s="43" t="str">
        <f aca="true">IF(Y29="Em atraso",TODAY()-W29,"")</f>
        <v/>
      </c>
      <c r="AA29" s="42" t="str">
        <f aca="false">IF(Y29="Em atraso",COUNTIF($Y$5:Y29,"Em atraso"),"")</f>
        <v/>
      </c>
    </row>
    <row r="30" customFormat="false" ht="15" hidden="false" customHeight="false" outlineLevel="0" collapsed="false">
      <c r="A30" s="36"/>
      <c r="B30" s="36"/>
      <c r="C30" s="36"/>
      <c r="D30" s="36"/>
      <c r="E30" s="36"/>
      <c r="F30" s="37"/>
      <c r="G30" s="36"/>
      <c r="H30" s="38"/>
      <c r="I30" s="36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40" t="n">
        <f aca="false">IF(A30="",0,IF(AND(I30="Ativo",OR(H30="",H30&lt;=EOMONTH(DATE(Painel!$C$4,Painel!$C$6,1),0))),F30,0))</f>
        <v>0</v>
      </c>
      <c r="W30" s="41" t="str">
        <f aca="false">IF(OR(V30=0,G30=""),"",DATE(Painel!$C$4,Painel!$C$6,MIN(G30,DAY(EOMONTH(DATE(Painel!$C$4,Painel!$C$6,1),0)))))</f>
        <v/>
      </c>
      <c r="X30" s="41" t="str">
        <f aca="false">IF(A30="","",IF(INDEX(J30:U30,Painel!$C$6)="","",INDEX(J30:U30,Painel!$C$6)))</f>
        <v/>
      </c>
      <c r="Y30" s="42" t="str">
        <f aca="true">IF(A30="","",IF(I30&lt;&gt;"Ativo","Inativo",IF(V30=0,"Sem cobrança",IF(X30&lt;&gt;"",IF(AND(W30&lt;&gt;"",X30&gt;W30),"Pago com atraso","Pago"),IF(W30="","Sem vencimento",IF(TODAY()&gt;W30,"Em atraso","A vencer"))))))</f>
        <v/>
      </c>
      <c r="Z30" s="43" t="str">
        <f aca="true">IF(Y30="Em atraso",TODAY()-W30,"")</f>
        <v/>
      </c>
      <c r="AA30" s="42" t="str">
        <f aca="false">IF(Y30="Em atraso",COUNTIF($Y$5:Y30,"Em atraso"),"")</f>
        <v/>
      </c>
    </row>
    <row r="31" customFormat="false" ht="15" hidden="false" customHeight="false" outlineLevel="0" collapsed="false">
      <c r="A31" s="36"/>
      <c r="B31" s="36"/>
      <c r="C31" s="36"/>
      <c r="D31" s="36"/>
      <c r="E31" s="36"/>
      <c r="F31" s="37"/>
      <c r="G31" s="36"/>
      <c r="H31" s="38"/>
      <c r="I31" s="36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40" t="n">
        <f aca="false">IF(A31="",0,IF(AND(I31="Ativo",OR(H31="",H31&lt;=EOMONTH(DATE(Painel!$C$4,Painel!$C$6,1),0))),F31,0))</f>
        <v>0</v>
      </c>
      <c r="W31" s="41" t="str">
        <f aca="false">IF(OR(V31=0,G31=""),"",DATE(Painel!$C$4,Painel!$C$6,MIN(G31,DAY(EOMONTH(DATE(Painel!$C$4,Painel!$C$6,1),0)))))</f>
        <v/>
      </c>
      <c r="X31" s="41" t="str">
        <f aca="false">IF(A31="","",IF(INDEX(J31:U31,Painel!$C$6)="","",INDEX(J31:U31,Painel!$C$6)))</f>
        <v/>
      </c>
      <c r="Y31" s="42" t="str">
        <f aca="true">IF(A31="","",IF(I31&lt;&gt;"Ativo","Inativo",IF(V31=0,"Sem cobrança",IF(X31&lt;&gt;"",IF(AND(W31&lt;&gt;"",X31&gt;W31),"Pago com atraso","Pago"),IF(W31="","Sem vencimento",IF(TODAY()&gt;W31,"Em atraso","A vencer"))))))</f>
        <v/>
      </c>
      <c r="Z31" s="43" t="str">
        <f aca="true">IF(Y31="Em atraso",TODAY()-W31,"")</f>
        <v/>
      </c>
      <c r="AA31" s="42" t="str">
        <f aca="false">IF(Y31="Em atraso",COUNTIF($Y$5:Y31,"Em atraso"),"")</f>
        <v/>
      </c>
    </row>
    <row r="32" customFormat="false" ht="15" hidden="false" customHeight="false" outlineLevel="0" collapsed="false">
      <c r="A32" s="36"/>
      <c r="B32" s="36"/>
      <c r="C32" s="36"/>
      <c r="D32" s="36"/>
      <c r="E32" s="36"/>
      <c r="F32" s="37"/>
      <c r="G32" s="36"/>
      <c r="H32" s="38"/>
      <c r="I32" s="36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40" t="n">
        <f aca="false">IF(A32="",0,IF(AND(I32="Ativo",OR(H32="",H32&lt;=EOMONTH(DATE(Painel!$C$4,Painel!$C$6,1),0))),F32,0))</f>
        <v>0</v>
      </c>
      <c r="W32" s="41" t="str">
        <f aca="false">IF(OR(V32=0,G32=""),"",DATE(Painel!$C$4,Painel!$C$6,MIN(G32,DAY(EOMONTH(DATE(Painel!$C$4,Painel!$C$6,1),0)))))</f>
        <v/>
      </c>
      <c r="X32" s="41" t="str">
        <f aca="false">IF(A32="","",IF(INDEX(J32:U32,Painel!$C$6)="","",INDEX(J32:U32,Painel!$C$6)))</f>
        <v/>
      </c>
      <c r="Y32" s="42" t="str">
        <f aca="true">IF(A32="","",IF(I32&lt;&gt;"Ativo","Inativo",IF(V32=0,"Sem cobrança",IF(X32&lt;&gt;"",IF(AND(W32&lt;&gt;"",X32&gt;W32),"Pago com atraso","Pago"),IF(W32="","Sem vencimento",IF(TODAY()&gt;W32,"Em atraso","A vencer"))))))</f>
        <v/>
      </c>
      <c r="Z32" s="43" t="str">
        <f aca="true">IF(Y32="Em atraso",TODAY()-W32,"")</f>
        <v/>
      </c>
      <c r="AA32" s="42" t="str">
        <f aca="false">IF(Y32="Em atraso",COUNTIF($Y$5:Y32,"Em atraso"),"")</f>
        <v/>
      </c>
    </row>
    <row r="33" customFormat="false" ht="15" hidden="false" customHeight="false" outlineLevel="0" collapsed="false">
      <c r="A33" s="36"/>
      <c r="B33" s="36"/>
      <c r="C33" s="36"/>
      <c r="D33" s="36"/>
      <c r="E33" s="36"/>
      <c r="F33" s="37"/>
      <c r="G33" s="36"/>
      <c r="H33" s="38"/>
      <c r="I33" s="36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40" t="n">
        <f aca="false">IF(A33="",0,IF(AND(I33="Ativo",OR(H33="",H33&lt;=EOMONTH(DATE(Painel!$C$4,Painel!$C$6,1),0))),F33,0))</f>
        <v>0</v>
      </c>
      <c r="W33" s="41" t="str">
        <f aca="false">IF(OR(V33=0,G33=""),"",DATE(Painel!$C$4,Painel!$C$6,MIN(G33,DAY(EOMONTH(DATE(Painel!$C$4,Painel!$C$6,1),0)))))</f>
        <v/>
      </c>
      <c r="X33" s="41" t="str">
        <f aca="false">IF(A33="","",IF(INDEX(J33:U33,Painel!$C$6)="","",INDEX(J33:U33,Painel!$C$6)))</f>
        <v/>
      </c>
      <c r="Y33" s="42" t="str">
        <f aca="true">IF(A33="","",IF(I33&lt;&gt;"Ativo","Inativo",IF(V33=0,"Sem cobrança",IF(X33&lt;&gt;"",IF(AND(W33&lt;&gt;"",X33&gt;W33),"Pago com atraso","Pago"),IF(W33="","Sem vencimento",IF(TODAY()&gt;W33,"Em atraso","A vencer"))))))</f>
        <v/>
      </c>
      <c r="Z33" s="43" t="str">
        <f aca="true">IF(Y33="Em atraso",TODAY()-W33,"")</f>
        <v/>
      </c>
      <c r="AA33" s="42" t="str">
        <f aca="false">IF(Y33="Em atraso",COUNTIF($Y$5:Y33,"Em atraso"),"")</f>
        <v/>
      </c>
    </row>
    <row r="34" customFormat="false" ht="15" hidden="false" customHeight="false" outlineLevel="0" collapsed="false">
      <c r="A34" s="36"/>
      <c r="B34" s="36"/>
      <c r="C34" s="36"/>
      <c r="D34" s="36"/>
      <c r="E34" s="36"/>
      <c r="F34" s="37"/>
      <c r="G34" s="36"/>
      <c r="H34" s="38"/>
      <c r="I34" s="36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40" t="n">
        <f aca="false">IF(A34="",0,IF(AND(I34="Ativo",OR(H34="",H34&lt;=EOMONTH(DATE(Painel!$C$4,Painel!$C$6,1),0))),F34,0))</f>
        <v>0</v>
      </c>
      <c r="W34" s="41" t="str">
        <f aca="false">IF(OR(V34=0,G34=""),"",DATE(Painel!$C$4,Painel!$C$6,MIN(G34,DAY(EOMONTH(DATE(Painel!$C$4,Painel!$C$6,1),0)))))</f>
        <v/>
      </c>
      <c r="X34" s="41" t="str">
        <f aca="false">IF(A34="","",IF(INDEX(J34:U34,Painel!$C$6)="","",INDEX(J34:U34,Painel!$C$6)))</f>
        <v/>
      </c>
      <c r="Y34" s="42" t="str">
        <f aca="true">IF(A34="","",IF(I34&lt;&gt;"Ativo","Inativo",IF(V34=0,"Sem cobrança",IF(X34&lt;&gt;"",IF(AND(W34&lt;&gt;"",X34&gt;W34),"Pago com atraso","Pago"),IF(W34="","Sem vencimento",IF(TODAY()&gt;W34,"Em atraso","A vencer"))))))</f>
        <v/>
      </c>
      <c r="Z34" s="43" t="str">
        <f aca="true">IF(Y34="Em atraso",TODAY()-W34,"")</f>
        <v/>
      </c>
      <c r="AA34" s="42" t="str">
        <f aca="false">IF(Y34="Em atraso",COUNTIF($Y$5:Y34,"Em atraso"),"")</f>
        <v/>
      </c>
    </row>
    <row r="35" customFormat="false" ht="15" hidden="false" customHeight="false" outlineLevel="0" collapsed="false">
      <c r="A35" s="36"/>
      <c r="B35" s="36"/>
      <c r="C35" s="36"/>
      <c r="D35" s="36"/>
      <c r="E35" s="36"/>
      <c r="F35" s="37"/>
      <c r="G35" s="36"/>
      <c r="H35" s="38"/>
      <c r="I35" s="36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40" t="n">
        <f aca="false">IF(A35="",0,IF(AND(I35="Ativo",OR(H35="",H35&lt;=EOMONTH(DATE(Painel!$C$4,Painel!$C$6,1),0))),F35,0))</f>
        <v>0</v>
      </c>
      <c r="W35" s="41" t="str">
        <f aca="false">IF(OR(V35=0,G35=""),"",DATE(Painel!$C$4,Painel!$C$6,MIN(G35,DAY(EOMONTH(DATE(Painel!$C$4,Painel!$C$6,1),0)))))</f>
        <v/>
      </c>
      <c r="X35" s="41" t="str">
        <f aca="false">IF(A35="","",IF(INDEX(J35:U35,Painel!$C$6)="","",INDEX(J35:U35,Painel!$C$6)))</f>
        <v/>
      </c>
      <c r="Y35" s="42" t="str">
        <f aca="true">IF(A35="","",IF(I35&lt;&gt;"Ativo","Inativo",IF(V35=0,"Sem cobrança",IF(X35&lt;&gt;"",IF(AND(W35&lt;&gt;"",X35&gt;W35),"Pago com atraso","Pago"),IF(W35="","Sem vencimento",IF(TODAY()&gt;W35,"Em atraso","A vencer"))))))</f>
        <v/>
      </c>
      <c r="Z35" s="43" t="str">
        <f aca="true">IF(Y35="Em atraso",TODAY()-W35,"")</f>
        <v/>
      </c>
      <c r="AA35" s="42" t="str">
        <f aca="false">IF(Y35="Em atraso",COUNTIF($Y$5:Y35,"Em atraso"),"")</f>
        <v/>
      </c>
    </row>
    <row r="36" customFormat="false" ht="15" hidden="false" customHeight="false" outlineLevel="0" collapsed="false">
      <c r="A36" s="36"/>
      <c r="B36" s="36"/>
      <c r="C36" s="36"/>
      <c r="D36" s="36"/>
      <c r="E36" s="36"/>
      <c r="F36" s="37"/>
      <c r="G36" s="36"/>
      <c r="H36" s="38"/>
      <c r="I36" s="36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40" t="n">
        <f aca="false">IF(A36="",0,IF(AND(I36="Ativo",OR(H36="",H36&lt;=EOMONTH(DATE(Painel!$C$4,Painel!$C$6,1),0))),F36,0))</f>
        <v>0</v>
      </c>
      <c r="W36" s="41" t="str">
        <f aca="false">IF(OR(V36=0,G36=""),"",DATE(Painel!$C$4,Painel!$C$6,MIN(G36,DAY(EOMONTH(DATE(Painel!$C$4,Painel!$C$6,1),0)))))</f>
        <v/>
      </c>
      <c r="X36" s="41" t="str">
        <f aca="false">IF(A36="","",IF(INDEX(J36:U36,Painel!$C$6)="","",INDEX(J36:U36,Painel!$C$6)))</f>
        <v/>
      </c>
      <c r="Y36" s="42" t="str">
        <f aca="true">IF(A36="","",IF(I36&lt;&gt;"Ativo","Inativo",IF(V36=0,"Sem cobrança",IF(X36&lt;&gt;"",IF(AND(W36&lt;&gt;"",X36&gt;W36),"Pago com atraso","Pago"),IF(W36="","Sem vencimento",IF(TODAY()&gt;W36,"Em atraso","A vencer"))))))</f>
        <v/>
      </c>
      <c r="Z36" s="43" t="str">
        <f aca="true">IF(Y36="Em atraso",TODAY()-W36,"")</f>
        <v/>
      </c>
      <c r="AA36" s="42" t="str">
        <f aca="false">IF(Y36="Em atraso",COUNTIF($Y$5:Y36,"Em atraso"),"")</f>
        <v/>
      </c>
    </row>
    <row r="37" customFormat="false" ht="15" hidden="false" customHeight="false" outlineLevel="0" collapsed="false">
      <c r="A37" s="36"/>
      <c r="B37" s="36"/>
      <c r="C37" s="36"/>
      <c r="D37" s="36"/>
      <c r="E37" s="36"/>
      <c r="F37" s="37"/>
      <c r="G37" s="36"/>
      <c r="H37" s="38"/>
      <c r="I37" s="36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40" t="n">
        <f aca="false">IF(A37="",0,IF(AND(I37="Ativo",OR(H37="",H37&lt;=EOMONTH(DATE(Painel!$C$4,Painel!$C$6,1),0))),F37,0))</f>
        <v>0</v>
      </c>
      <c r="W37" s="41" t="str">
        <f aca="false">IF(OR(V37=0,G37=""),"",DATE(Painel!$C$4,Painel!$C$6,MIN(G37,DAY(EOMONTH(DATE(Painel!$C$4,Painel!$C$6,1),0)))))</f>
        <v/>
      </c>
      <c r="X37" s="41" t="str">
        <f aca="false">IF(A37="","",IF(INDEX(J37:U37,Painel!$C$6)="","",INDEX(J37:U37,Painel!$C$6)))</f>
        <v/>
      </c>
      <c r="Y37" s="42" t="str">
        <f aca="true">IF(A37="","",IF(I37&lt;&gt;"Ativo","Inativo",IF(V37=0,"Sem cobrança",IF(X37&lt;&gt;"",IF(AND(W37&lt;&gt;"",X37&gt;W37),"Pago com atraso","Pago"),IF(W37="","Sem vencimento",IF(TODAY()&gt;W37,"Em atraso","A vencer"))))))</f>
        <v/>
      </c>
      <c r="Z37" s="43" t="str">
        <f aca="true">IF(Y37="Em atraso",TODAY()-W37,"")</f>
        <v/>
      </c>
      <c r="AA37" s="42" t="str">
        <f aca="false">IF(Y37="Em atraso",COUNTIF($Y$5:Y37,"Em atraso"),"")</f>
        <v/>
      </c>
    </row>
    <row r="38" customFormat="false" ht="15" hidden="false" customHeight="false" outlineLevel="0" collapsed="false">
      <c r="A38" s="36"/>
      <c r="B38" s="36"/>
      <c r="C38" s="36"/>
      <c r="D38" s="36"/>
      <c r="E38" s="36"/>
      <c r="F38" s="37"/>
      <c r="G38" s="36"/>
      <c r="H38" s="38"/>
      <c r="I38" s="36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 t="n">
        <f aca="false">IF(A38="",0,IF(AND(I38="Ativo",OR(H38="",H38&lt;=EOMONTH(DATE(Painel!$C$4,Painel!$C$6,1),0))),F38,0))</f>
        <v>0</v>
      </c>
      <c r="W38" s="41" t="str">
        <f aca="false">IF(OR(V38=0,G38=""),"",DATE(Painel!$C$4,Painel!$C$6,MIN(G38,DAY(EOMONTH(DATE(Painel!$C$4,Painel!$C$6,1),0)))))</f>
        <v/>
      </c>
      <c r="X38" s="41" t="str">
        <f aca="false">IF(A38="","",IF(INDEX(J38:U38,Painel!$C$6)="","",INDEX(J38:U38,Painel!$C$6)))</f>
        <v/>
      </c>
      <c r="Y38" s="42" t="str">
        <f aca="true">IF(A38="","",IF(I38&lt;&gt;"Ativo","Inativo",IF(V38=0,"Sem cobrança",IF(X38&lt;&gt;"",IF(AND(W38&lt;&gt;"",X38&gt;W38),"Pago com atraso","Pago"),IF(W38="","Sem vencimento",IF(TODAY()&gt;W38,"Em atraso","A vencer"))))))</f>
        <v/>
      </c>
      <c r="Z38" s="43" t="str">
        <f aca="true">IF(Y38="Em atraso",TODAY()-W38,"")</f>
        <v/>
      </c>
      <c r="AA38" s="42" t="str">
        <f aca="false">IF(Y38="Em atraso",COUNTIF($Y$5:Y38,"Em atraso"),"")</f>
        <v/>
      </c>
    </row>
    <row r="39" customFormat="false" ht="15" hidden="false" customHeight="false" outlineLevel="0" collapsed="false">
      <c r="A39" s="36"/>
      <c r="B39" s="36"/>
      <c r="C39" s="36"/>
      <c r="D39" s="36"/>
      <c r="E39" s="36"/>
      <c r="F39" s="37"/>
      <c r="G39" s="36"/>
      <c r="H39" s="38"/>
      <c r="I39" s="36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40" t="n">
        <f aca="false">IF(A39="",0,IF(AND(I39="Ativo",OR(H39="",H39&lt;=EOMONTH(DATE(Painel!$C$4,Painel!$C$6,1),0))),F39,0))</f>
        <v>0</v>
      </c>
      <c r="W39" s="41" t="str">
        <f aca="false">IF(OR(V39=0,G39=""),"",DATE(Painel!$C$4,Painel!$C$6,MIN(G39,DAY(EOMONTH(DATE(Painel!$C$4,Painel!$C$6,1),0)))))</f>
        <v/>
      </c>
      <c r="X39" s="41" t="str">
        <f aca="false">IF(A39="","",IF(INDEX(J39:U39,Painel!$C$6)="","",INDEX(J39:U39,Painel!$C$6)))</f>
        <v/>
      </c>
      <c r="Y39" s="42" t="str">
        <f aca="true">IF(A39="","",IF(I39&lt;&gt;"Ativo","Inativo",IF(V39=0,"Sem cobrança",IF(X39&lt;&gt;"",IF(AND(W39&lt;&gt;"",X39&gt;W39),"Pago com atraso","Pago"),IF(W39="","Sem vencimento",IF(TODAY()&gt;W39,"Em atraso","A vencer"))))))</f>
        <v/>
      </c>
      <c r="Z39" s="43" t="str">
        <f aca="true">IF(Y39="Em atraso",TODAY()-W39,"")</f>
        <v/>
      </c>
      <c r="AA39" s="42" t="str">
        <f aca="false">IF(Y39="Em atraso",COUNTIF($Y$5:Y39,"Em atraso"),"")</f>
        <v/>
      </c>
    </row>
    <row r="40" customFormat="false" ht="15" hidden="false" customHeight="false" outlineLevel="0" collapsed="false">
      <c r="A40" s="36"/>
      <c r="B40" s="36"/>
      <c r="C40" s="36"/>
      <c r="D40" s="36"/>
      <c r="E40" s="36"/>
      <c r="F40" s="37"/>
      <c r="G40" s="36"/>
      <c r="H40" s="38"/>
      <c r="I40" s="36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40" t="n">
        <f aca="false">IF(A40="",0,IF(AND(I40="Ativo",OR(H40="",H40&lt;=EOMONTH(DATE(Painel!$C$4,Painel!$C$6,1),0))),F40,0))</f>
        <v>0</v>
      </c>
      <c r="W40" s="41" t="str">
        <f aca="false">IF(OR(V40=0,G40=""),"",DATE(Painel!$C$4,Painel!$C$6,MIN(G40,DAY(EOMONTH(DATE(Painel!$C$4,Painel!$C$6,1),0)))))</f>
        <v/>
      </c>
      <c r="X40" s="41" t="str">
        <f aca="false">IF(A40="","",IF(INDEX(J40:U40,Painel!$C$6)="","",INDEX(J40:U40,Painel!$C$6)))</f>
        <v/>
      </c>
      <c r="Y40" s="42" t="str">
        <f aca="true">IF(A40="","",IF(I40&lt;&gt;"Ativo","Inativo",IF(V40=0,"Sem cobrança",IF(X40&lt;&gt;"",IF(AND(W40&lt;&gt;"",X40&gt;W40),"Pago com atraso","Pago"),IF(W40="","Sem vencimento",IF(TODAY()&gt;W40,"Em atraso","A vencer"))))))</f>
        <v/>
      </c>
      <c r="Z40" s="43" t="str">
        <f aca="true">IF(Y40="Em atraso",TODAY()-W40,"")</f>
        <v/>
      </c>
      <c r="AA40" s="42" t="str">
        <f aca="false">IF(Y40="Em atraso",COUNTIF($Y$5:Y40,"Em atraso"),"")</f>
        <v/>
      </c>
    </row>
    <row r="41" customFormat="false" ht="15" hidden="false" customHeight="false" outlineLevel="0" collapsed="false">
      <c r="A41" s="36"/>
      <c r="B41" s="36"/>
      <c r="C41" s="36"/>
      <c r="D41" s="36"/>
      <c r="E41" s="36"/>
      <c r="F41" s="37"/>
      <c r="G41" s="36"/>
      <c r="H41" s="38"/>
      <c r="I41" s="36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40" t="n">
        <f aca="false">IF(A41="",0,IF(AND(I41="Ativo",OR(H41="",H41&lt;=EOMONTH(DATE(Painel!$C$4,Painel!$C$6,1),0))),F41,0))</f>
        <v>0</v>
      </c>
      <c r="W41" s="41" t="str">
        <f aca="false">IF(OR(V41=0,G41=""),"",DATE(Painel!$C$4,Painel!$C$6,MIN(G41,DAY(EOMONTH(DATE(Painel!$C$4,Painel!$C$6,1),0)))))</f>
        <v/>
      </c>
      <c r="X41" s="41" t="str">
        <f aca="false">IF(A41="","",IF(INDEX(J41:U41,Painel!$C$6)="","",INDEX(J41:U41,Painel!$C$6)))</f>
        <v/>
      </c>
      <c r="Y41" s="42" t="str">
        <f aca="true">IF(A41="","",IF(I41&lt;&gt;"Ativo","Inativo",IF(V41=0,"Sem cobrança",IF(X41&lt;&gt;"",IF(AND(W41&lt;&gt;"",X41&gt;W41),"Pago com atraso","Pago"),IF(W41="","Sem vencimento",IF(TODAY()&gt;W41,"Em atraso","A vencer"))))))</f>
        <v/>
      </c>
      <c r="Z41" s="43" t="str">
        <f aca="true">IF(Y41="Em atraso",TODAY()-W41,"")</f>
        <v/>
      </c>
      <c r="AA41" s="42" t="str">
        <f aca="false">IF(Y41="Em atraso",COUNTIF($Y$5:Y41,"Em atraso"),"")</f>
        <v/>
      </c>
    </row>
    <row r="42" customFormat="false" ht="15" hidden="false" customHeight="false" outlineLevel="0" collapsed="false">
      <c r="A42" s="36"/>
      <c r="B42" s="36"/>
      <c r="C42" s="36"/>
      <c r="D42" s="36"/>
      <c r="E42" s="36"/>
      <c r="F42" s="37"/>
      <c r="G42" s="36"/>
      <c r="H42" s="38"/>
      <c r="I42" s="36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0" t="n">
        <f aca="false">IF(A42="",0,IF(AND(I42="Ativo",OR(H42="",H42&lt;=EOMONTH(DATE(Painel!$C$4,Painel!$C$6,1),0))),F42,0))</f>
        <v>0</v>
      </c>
      <c r="W42" s="41" t="str">
        <f aca="false">IF(OR(V42=0,G42=""),"",DATE(Painel!$C$4,Painel!$C$6,MIN(G42,DAY(EOMONTH(DATE(Painel!$C$4,Painel!$C$6,1),0)))))</f>
        <v/>
      </c>
      <c r="X42" s="41" t="str">
        <f aca="false">IF(A42="","",IF(INDEX(J42:U42,Painel!$C$6)="","",INDEX(J42:U42,Painel!$C$6)))</f>
        <v/>
      </c>
      <c r="Y42" s="42" t="str">
        <f aca="true">IF(A42="","",IF(I42&lt;&gt;"Ativo","Inativo",IF(V42=0,"Sem cobrança",IF(X42&lt;&gt;"",IF(AND(W42&lt;&gt;"",X42&gt;W42),"Pago com atraso","Pago"),IF(W42="","Sem vencimento",IF(TODAY()&gt;W42,"Em atraso","A vencer"))))))</f>
        <v/>
      </c>
      <c r="Z42" s="43" t="str">
        <f aca="true">IF(Y42="Em atraso",TODAY()-W42,"")</f>
        <v/>
      </c>
      <c r="AA42" s="42" t="str">
        <f aca="false">IF(Y42="Em atraso",COUNTIF($Y$5:Y42,"Em atraso"),"")</f>
        <v/>
      </c>
    </row>
    <row r="43" customFormat="false" ht="15" hidden="false" customHeight="false" outlineLevel="0" collapsed="false">
      <c r="A43" s="36"/>
      <c r="B43" s="36"/>
      <c r="C43" s="36"/>
      <c r="D43" s="36"/>
      <c r="E43" s="36"/>
      <c r="F43" s="37"/>
      <c r="G43" s="36"/>
      <c r="H43" s="38"/>
      <c r="I43" s="36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0" t="n">
        <f aca="false">IF(A43="",0,IF(AND(I43="Ativo",OR(H43="",H43&lt;=EOMONTH(DATE(Painel!$C$4,Painel!$C$6,1),0))),F43,0))</f>
        <v>0</v>
      </c>
      <c r="W43" s="41" t="str">
        <f aca="false">IF(OR(V43=0,G43=""),"",DATE(Painel!$C$4,Painel!$C$6,MIN(G43,DAY(EOMONTH(DATE(Painel!$C$4,Painel!$C$6,1),0)))))</f>
        <v/>
      </c>
      <c r="X43" s="41" t="str">
        <f aca="false">IF(A43="","",IF(INDEX(J43:U43,Painel!$C$6)="","",INDEX(J43:U43,Painel!$C$6)))</f>
        <v/>
      </c>
      <c r="Y43" s="42" t="str">
        <f aca="true">IF(A43="","",IF(I43&lt;&gt;"Ativo","Inativo",IF(V43=0,"Sem cobrança",IF(X43&lt;&gt;"",IF(AND(W43&lt;&gt;"",X43&gt;W43),"Pago com atraso","Pago"),IF(W43="","Sem vencimento",IF(TODAY()&gt;W43,"Em atraso","A vencer"))))))</f>
        <v/>
      </c>
      <c r="Z43" s="43" t="str">
        <f aca="true">IF(Y43="Em atraso",TODAY()-W43,"")</f>
        <v/>
      </c>
      <c r="AA43" s="42" t="str">
        <f aca="false">IF(Y43="Em atraso",COUNTIF($Y$5:Y43,"Em atraso"),"")</f>
        <v/>
      </c>
    </row>
    <row r="44" customFormat="false" ht="15" hidden="false" customHeight="false" outlineLevel="0" collapsed="false">
      <c r="A44" s="36"/>
      <c r="B44" s="36"/>
      <c r="C44" s="36"/>
      <c r="D44" s="36"/>
      <c r="E44" s="36"/>
      <c r="F44" s="37"/>
      <c r="G44" s="36"/>
      <c r="H44" s="38"/>
      <c r="I44" s="36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40" t="n">
        <f aca="false">IF(A44="",0,IF(AND(I44="Ativo",OR(H44="",H44&lt;=EOMONTH(DATE(Painel!$C$4,Painel!$C$6,1),0))),F44,0))</f>
        <v>0</v>
      </c>
      <c r="W44" s="41" t="str">
        <f aca="false">IF(OR(V44=0,G44=""),"",DATE(Painel!$C$4,Painel!$C$6,MIN(G44,DAY(EOMONTH(DATE(Painel!$C$4,Painel!$C$6,1),0)))))</f>
        <v/>
      </c>
      <c r="X44" s="41" t="str">
        <f aca="false">IF(A44="","",IF(INDEX(J44:U44,Painel!$C$6)="","",INDEX(J44:U44,Painel!$C$6)))</f>
        <v/>
      </c>
      <c r="Y44" s="42" t="str">
        <f aca="true">IF(A44="","",IF(I44&lt;&gt;"Ativo","Inativo",IF(V44=0,"Sem cobrança",IF(X44&lt;&gt;"",IF(AND(W44&lt;&gt;"",X44&gt;W44),"Pago com atraso","Pago"),IF(W44="","Sem vencimento",IF(TODAY()&gt;W44,"Em atraso","A vencer"))))))</f>
        <v/>
      </c>
      <c r="Z44" s="43" t="str">
        <f aca="true">IF(Y44="Em atraso",TODAY()-W44,"")</f>
        <v/>
      </c>
      <c r="AA44" s="42" t="str">
        <f aca="false">IF(Y44="Em atraso",COUNTIF($Y$5:Y44,"Em atraso"),"")</f>
        <v/>
      </c>
    </row>
    <row r="45" customFormat="false" ht="15" hidden="false" customHeight="false" outlineLevel="0" collapsed="false">
      <c r="A45" s="36"/>
      <c r="B45" s="36"/>
      <c r="C45" s="36"/>
      <c r="D45" s="36"/>
      <c r="E45" s="36"/>
      <c r="F45" s="37"/>
      <c r="G45" s="36"/>
      <c r="H45" s="38"/>
      <c r="I45" s="36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40" t="n">
        <f aca="false">IF(A45="",0,IF(AND(I45="Ativo",OR(H45="",H45&lt;=EOMONTH(DATE(Painel!$C$4,Painel!$C$6,1),0))),F45,0))</f>
        <v>0</v>
      </c>
      <c r="W45" s="41" t="str">
        <f aca="false">IF(OR(V45=0,G45=""),"",DATE(Painel!$C$4,Painel!$C$6,MIN(G45,DAY(EOMONTH(DATE(Painel!$C$4,Painel!$C$6,1),0)))))</f>
        <v/>
      </c>
      <c r="X45" s="41" t="str">
        <f aca="false">IF(A45="","",IF(INDEX(J45:U45,Painel!$C$6)="","",INDEX(J45:U45,Painel!$C$6)))</f>
        <v/>
      </c>
      <c r="Y45" s="42" t="str">
        <f aca="true">IF(A45="","",IF(I45&lt;&gt;"Ativo","Inativo",IF(V45=0,"Sem cobrança",IF(X45&lt;&gt;"",IF(AND(W45&lt;&gt;"",X45&gt;W45),"Pago com atraso","Pago"),IF(W45="","Sem vencimento",IF(TODAY()&gt;W45,"Em atraso","A vencer"))))))</f>
        <v/>
      </c>
      <c r="Z45" s="43" t="str">
        <f aca="true">IF(Y45="Em atraso",TODAY()-W45,"")</f>
        <v/>
      </c>
      <c r="AA45" s="42" t="str">
        <f aca="false">IF(Y45="Em atraso",COUNTIF($Y$5:Y45,"Em atraso"),"")</f>
        <v/>
      </c>
    </row>
    <row r="46" customFormat="false" ht="15" hidden="false" customHeight="false" outlineLevel="0" collapsed="false">
      <c r="A46" s="36"/>
      <c r="B46" s="36"/>
      <c r="C46" s="36"/>
      <c r="D46" s="36"/>
      <c r="E46" s="36"/>
      <c r="F46" s="37"/>
      <c r="G46" s="36"/>
      <c r="H46" s="38"/>
      <c r="I46" s="36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0" t="n">
        <f aca="false">IF(A46="",0,IF(AND(I46="Ativo",OR(H46="",H46&lt;=EOMONTH(DATE(Painel!$C$4,Painel!$C$6,1),0))),F46,0))</f>
        <v>0</v>
      </c>
      <c r="W46" s="41" t="str">
        <f aca="false">IF(OR(V46=0,G46=""),"",DATE(Painel!$C$4,Painel!$C$6,MIN(G46,DAY(EOMONTH(DATE(Painel!$C$4,Painel!$C$6,1),0)))))</f>
        <v/>
      </c>
      <c r="X46" s="41" t="str">
        <f aca="false">IF(A46="","",IF(INDEX(J46:U46,Painel!$C$6)="","",INDEX(J46:U46,Painel!$C$6)))</f>
        <v/>
      </c>
      <c r="Y46" s="42" t="str">
        <f aca="true">IF(A46="","",IF(I46&lt;&gt;"Ativo","Inativo",IF(V46=0,"Sem cobrança",IF(X46&lt;&gt;"",IF(AND(W46&lt;&gt;"",X46&gt;W46),"Pago com atraso","Pago"),IF(W46="","Sem vencimento",IF(TODAY()&gt;W46,"Em atraso","A vencer"))))))</f>
        <v/>
      </c>
      <c r="Z46" s="43" t="str">
        <f aca="true">IF(Y46="Em atraso",TODAY()-W46,"")</f>
        <v/>
      </c>
      <c r="AA46" s="42" t="str">
        <f aca="false">IF(Y46="Em atraso",COUNTIF($Y$5:Y46,"Em atraso"),"")</f>
        <v/>
      </c>
    </row>
    <row r="47" customFormat="false" ht="15" hidden="false" customHeight="false" outlineLevel="0" collapsed="false">
      <c r="A47" s="36"/>
      <c r="B47" s="36"/>
      <c r="C47" s="36"/>
      <c r="D47" s="36"/>
      <c r="E47" s="36"/>
      <c r="F47" s="37"/>
      <c r="G47" s="36"/>
      <c r="H47" s="38"/>
      <c r="I47" s="36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0" t="n">
        <f aca="false">IF(A47="",0,IF(AND(I47="Ativo",OR(H47="",H47&lt;=EOMONTH(DATE(Painel!$C$4,Painel!$C$6,1),0))),F47,0))</f>
        <v>0</v>
      </c>
      <c r="W47" s="41" t="str">
        <f aca="false">IF(OR(V47=0,G47=""),"",DATE(Painel!$C$4,Painel!$C$6,MIN(G47,DAY(EOMONTH(DATE(Painel!$C$4,Painel!$C$6,1),0)))))</f>
        <v/>
      </c>
      <c r="X47" s="41" t="str">
        <f aca="false">IF(A47="","",IF(INDEX(J47:U47,Painel!$C$6)="","",INDEX(J47:U47,Painel!$C$6)))</f>
        <v/>
      </c>
      <c r="Y47" s="42" t="str">
        <f aca="true">IF(A47="","",IF(I47&lt;&gt;"Ativo","Inativo",IF(V47=0,"Sem cobrança",IF(X47&lt;&gt;"",IF(AND(W47&lt;&gt;"",X47&gt;W47),"Pago com atraso","Pago"),IF(W47="","Sem vencimento",IF(TODAY()&gt;W47,"Em atraso","A vencer"))))))</f>
        <v/>
      </c>
      <c r="Z47" s="43" t="str">
        <f aca="true">IF(Y47="Em atraso",TODAY()-W47,"")</f>
        <v/>
      </c>
      <c r="AA47" s="42" t="str">
        <f aca="false">IF(Y47="Em atraso",COUNTIF($Y$5:Y47,"Em atraso"),"")</f>
        <v/>
      </c>
    </row>
    <row r="48" customFormat="false" ht="15" hidden="false" customHeight="false" outlineLevel="0" collapsed="false">
      <c r="A48" s="36"/>
      <c r="B48" s="36"/>
      <c r="C48" s="36"/>
      <c r="D48" s="36"/>
      <c r="E48" s="36"/>
      <c r="F48" s="37"/>
      <c r="G48" s="36"/>
      <c r="H48" s="38"/>
      <c r="I48" s="36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40" t="n">
        <f aca="false">IF(A48="",0,IF(AND(I48="Ativo",OR(H48="",H48&lt;=EOMONTH(DATE(Painel!$C$4,Painel!$C$6,1),0))),F48,0))</f>
        <v>0</v>
      </c>
      <c r="W48" s="41" t="str">
        <f aca="false">IF(OR(V48=0,G48=""),"",DATE(Painel!$C$4,Painel!$C$6,MIN(G48,DAY(EOMONTH(DATE(Painel!$C$4,Painel!$C$6,1),0)))))</f>
        <v/>
      </c>
      <c r="X48" s="41" t="str">
        <f aca="false">IF(A48="","",IF(INDEX(J48:U48,Painel!$C$6)="","",INDEX(J48:U48,Painel!$C$6)))</f>
        <v/>
      </c>
      <c r="Y48" s="42" t="str">
        <f aca="true">IF(A48="","",IF(I48&lt;&gt;"Ativo","Inativo",IF(V48=0,"Sem cobrança",IF(X48&lt;&gt;"",IF(AND(W48&lt;&gt;"",X48&gt;W48),"Pago com atraso","Pago"),IF(W48="","Sem vencimento",IF(TODAY()&gt;W48,"Em atraso","A vencer"))))))</f>
        <v/>
      </c>
      <c r="Z48" s="43" t="str">
        <f aca="true">IF(Y48="Em atraso",TODAY()-W48,"")</f>
        <v/>
      </c>
      <c r="AA48" s="42" t="str">
        <f aca="false">IF(Y48="Em atraso",COUNTIF($Y$5:Y48,"Em atraso"),"")</f>
        <v/>
      </c>
    </row>
    <row r="49" customFormat="false" ht="15" hidden="false" customHeight="false" outlineLevel="0" collapsed="false">
      <c r="A49" s="36"/>
      <c r="B49" s="36"/>
      <c r="C49" s="36"/>
      <c r="D49" s="36"/>
      <c r="E49" s="36"/>
      <c r="F49" s="37"/>
      <c r="G49" s="36"/>
      <c r="H49" s="38"/>
      <c r="I49" s="36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40" t="n">
        <f aca="false">IF(A49="",0,IF(AND(I49="Ativo",OR(H49="",H49&lt;=EOMONTH(DATE(Painel!$C$4,Painel!$C$6,1),0))),F49,0))</f>
        <v>0</v>
      </c>
      <c r="W49" s="41" t="str">
        <f aca="false">IF(OR(V49=0,G49=""),"",DATE(Painel!$C$4,Painel!$C$6,MIN(G49,DAY(EOMONTH(DATE(Painel!$C$4,Painel!$C$6,1),0)))))</f>
        <v/>
      </c>
      <c r="X49" s="41" t="str">
        <f aca="false">IF(A49="","",IF(INDEX(J49:U49,Painel!$C$6)="","",INDEX(J49:U49,Painel!$C$6)))</f>
        <v/>
      </c>
      <c r="Y49" s="42" t="str">
        <f aca="true">IF(A49="","",IF(I49&lt;&gt;"Ativo","Inativo",IF(V49=0,"Sem cobrança",IF(X49&lt;&gt;"",IF(AND(W49&lt;&gt;"",X49&gt;W49),"Pago com atraso","Pago"),IF(W49="","Sem vencimento",IF(TODAY()&gt;W49,"Em atraso","A vencer"))))))</f>
        <v/>
      </c>
      <c r="Z49" s="43" t="str">
        <f aca="true">IF(Y49="Em atraso",TODAY()-W49,"")</f>
        <v/>
      </c>
      <c r="AA49" s="42" t="str">
        <f aca="false">IF(Y49="Em atraso",COUNTIF($Y$5:Y49,"Em atraso"),"")</f>
        <v/>
      </c>
    </row>
    <row r="50" customFormat="false" ht="15" hidden="false" customHeight="false" outlineLevel="0" collapsed="false">
      <c r="A50" s="36"/>
      <c r="B50" s="36"/>
      <c r="C50" s="36"/>
      <c r="D50" s="36"/>
      <c r="E50" s="36"/>
      <c r="F50" s="37"/>
      <c r="G50" s="36"/>
      <c r="H50" s="38"/>
      <c r="I50" s="36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0" t="n">
        <f aca="false">IF(A50="",0,IF(AND(I50="Ativo",OR(H50="",H50&lt;=EOMONTH(DATE(Painel!$C$4,Painel!$C$6,1),0))),F50,0))</f>
        <v>0</v>
      </c>
      <c r="W50" s="41" t="str">
        <f aca="false">IF(OR(V50=0,G50=""),"",DATE(Painel!$C$4,Painel!$C$6,MIN(G50,DAY(EOMONTH(DATE(Painel!$C$4,Painel!$C$6,1),0)))))</f>
        <v/>
      </c>
      <c r="X50" s="41" t="str">
        <f aca="false">IF(A50="","",IF(INDEX(J50:U50,Painel!$C$6)="","",INDEX(J50:U50,Painel!$C$6)))</f>
        <v/>
      </c>
      <c r="Y50" s="42" t="str">
        <f aca="true">IF(A50="","",IF(I50&lt;&gt;"Ativo","Inativo",IF(V50=0,"Sem cobrança",IF(X50&lt;&gt;"",IF(AND(W50&lt;&gt;"",X50&gt;W50),"Pago com atraso","Pago"),IF(W50="","Sem vencimento",IF(TODAY()&gt;W50,"Em atraso","A vencer"))))))</f>
        <v/>
      </c>
      <c r="Z50" s="43" t="str">
        <f aca="true">IF(Y50="Em atraso",TODAY()-W50,"")</f>
        <v/>
      </c>
      <c r="AA50" s="42" t="str">
        <f aca="false">IF(Y50="Em atraso",COUNTIF($Y$5:Y50,"Em atraso"),"")</f>
        <v/>
      </c>
    </row>
    <row r="51" customFormat="false" ht="15" hidden="false" customHeight="false" outlineLevel="0" collapsed="false">
      <c r="A51" s="36"/>
      <c r="B51" s="36"/>
      <c r="C51" s="36"/>
      <c r="D51" s="36"/>
      <c r="E51" s="36"/>
      <c r="F51" s="37"/>
      <c r="G51" s="36"/>
      <c r="H51" s="38"/>
      <c r="I51" s="36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0" t="n">
        <f aca="false">IF(A51="",0,IF(AND(I51="Ativo",OR(H51="",H51&lt;=EOMONTH(DATE(Painel!$C$4,Painel!$C$6,1),0))),F51,0))</f>
        <v>0</v>
      </c>
      <c r="W51" s="41" t="str">
        <f aca="false">IF(OR(V51=0,G51=""),"",DATE(Painel!$C$4,Painel!$C$6,MIN(G51,DAY(EOMONTH(DATE(Painel!$C$4,Painel!$C$6,1),0)))))</f>
        <v/>
      </c>
      <c r="X51" s="41" t="str">
        <f aca="false">IF(A51="","",IF(INDEX(J51:U51,Painel!$C$6)="","",INDEX(J51:U51,Painel!$C$6)))</f>
        <v/>
      </c>
      <c r="Y51" s="42" t="str">
        <f aca="true">IF(A51="","",IF(I51&lt;&gt;"Ativo","Inativo",IF(V51=0,"Sem cobrança",IF(X51&lt;&gt;"",IF(AND(W51&lt;&gt;"",X51&gt;W51),"Pago com atraso","Pago"),IF(W51="","Sem vencimento",IF(TODAY()&gt;W51,"Em atraso","A vencer"))))))</f>
        <v/>
      </c>
      <c r="Z51" s="43" t="str">
        <f aca="true">IF(Y51="Em atraso",TODAY()-W51,"")</f>
        <v/>
      </c>
      <c r="AA51" s="42" t="str">
        <f aca="false">IF(Y51="Em atraso",COUNTIF($Y$5:Y51,"Em atraso"),"")</f>
        <v/>
      </c>
    </row>
    <row r="52" customFormat="false" ht="15" hidden="false" customHeight="false" outlineLevel="0" collapsed="false">
      <c r="A52" s="36"/>
      <c r="B52" s="36"/>
      <c r="C52" s="36"/>
      <c r="D52" s="36"/>
      <c r="E52" s="36"/>
      <c r="F52" s="37"/>
      <c r="G52" s="36"/>
      <c r="H52" s="38"/>
      <c r="I52" s="36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40" t="n">
        <f aca="false">IF(A52="",0,IF(AND(I52="Ativo",OR(H52="",H52&lt;=EOMONTH(DATE(Painel!$C$4,Painel!$C$6,1),0))),F52,0))</f>
        <v>0</v>
      </c>
      <c r="W52" s="41" t="str">
        <f aca="false">IF(OR(V52=0,G52=""),"",DATE(Painel!$C$4,Painel!$C$6,MIN(G52,DAY(EOMONTH(DATE(Painel!$C$4,Painel!$C$6,1),0)))))</f>
        <v/>
      </c>
      <c r="X52" s="41" t="str">
        <f aca="false">IF(A52="","",IF(INDEX(J52:U52,Painel!$C$6)="","",INDEX(J52:U52,Painel!$C$6)))</f>
        <v/>
      </c>
      <c r="Y52" s="42" t="str">
        <f aca="true">IF(A52="","",IF(I52&lt;&gt;"Ativo","Inativo",IF(V52=0,"Sem cobrança",IF(X52&lt;&gt;"",IF(AND(W52&lt;&gt;"",X52&gt;W52),"Pago com atraso","Pago"),IF(W52="","Sem vencimento",IF(TODAY()&gt;W52,"Em atraso","A vencer"))))))</f>
        <v/>
      </c>
      <c r="Z52" s="43" t="str">
        <f aca="true">IF(Y52="Em atraso",TODAY()-W52,"")</f>
        <v/>
      </c>
      <c r="AA52" s="42" t="str">
        <f aca="false">IF(Y52="Em atraso",COUNTIF($Y$5:Y52,"Em atraso"),"")</f>
        <v/>
      </c>
    </row>
    <row r="53" customFormat="false" ht="15" hidden="false" customHeight="false" outlineLevel="0" collapsed="false">
      <c r="A53" s="36"/>
      <c r="B53" s="36"/>
      <c r="C53" s="36"/>
      <c r="D53" s="36"/>
      <c r="E53" s="36"/>
      <c r="F53" s="37"/>
      <c r="G53" s="36"/>
      <c r="H53" s="38"/>
      <c r="I53" s="36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40" t="n">
        <f aca="false">IF(A53="",0,IF(AND(I53="Ativo",OR(H53="",H53&lt;=EOMONTH(DATE(Painel!$C$4,Painel!$C$6,1),0))),F53,0))</f>
        <v>0</v>
      </c>
      <c r="W53" s="41" t="str">
        <f aca="false">IF(OR(V53=0,G53=""),"",DATE(Painel!$C$4,Painel!$C$6,MIN(G53,DAY(EOMONTH(DATE(Painel!$C$4,Painel!$C$6,1),0)))))</f>
        <v/>
      </c>
      <c r="X53" s="41" t="str">
        <f aca="false">IF(A53="","",IF(INDEX(J53:U53,Painel!$C$6)="","",INDEX(J53:U53,Painel!$C$6)))</f>
        <v/>
      </c>
      <c r="Y53" s="42" t="str">
        <f aca="true">IF(A53="","",IF(I53&lt;&gt;"Ativo","Inativo",IF(V53=0,"Sem cobrança",IF(X53&lt;&gt;"",IF(AND(W53&lt;&gt;"",X53&gt;W53),"Pago com atraso","Pago"),IF(W53="","Sem vencimento",IF(TODAY()&gt;W53,"Em atraso","A vencer"))))))</f>
        <v/>
      </c>
      <c r="Z53" s="43" t="str">
        <f aca="true">IF(Y53="Em atraso",TODAY()-W53,"")</f>
        <v/>
      </c>
      <c r="AA53" s="42" t="str">
        <f aca="false">IF(Y53="Em atraso",COUNTIF($Y$5:Y53,"Em atraso"),"")</f>
        <v/>
      </c>
    </row>
    <row r="54" customFormat="false" ht="15" hidden="false" customHeight="false" outlineLevel="0" collapsed="false">
      <c r="A54" s="36"/>
      <c r="B54" s="36"/>
      <c r="C54" s="36"/>
      <c r="D54" s="36"/>
      <c r="E54" s="36"/>
      <c r="F54" s="37"/>
      <c r="G54" s="36"/>
      <c r="H54" s="38"/>
      <c r="I54" s="36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40" t="n">
        <f aca="false">IF(A54="",0,IF(AND(I54="Ativo",OR(H54="",H54&lt;=EOMONTH(DATE(Painel!$C$4,Painel!$C$6,1),0))),F54,0))</f>
        <v>0</v>
      </c>
      <c r="W54" s="41" t="str">
        <f aca="false">IF(OR(V54=0,G54=""),"",DATE(Painel!$C$4,Painel!$C$6,MIN(G54,DAY(EOMONTH(DATE(Painel!$C$4,Painel!$C$6,1),0)))))</f>
        <v/>
      </c>
      <c r="X54" s="41" t="str">
        <f aca="false">IF(A54="","",IF(INDEX(J54:U54,Painel!$C$6)="","",INDEX(J54:U54,Painel!$C$6)))</f>
        <v/>
      </c>
      <c r="Y54" s="42" t="str">
        <f aca="true">IF(A54="","",IF(I54&lt;&gt;"Ativo","Inativo",IF(V54=0,"Sem cobrança",IF(X54&lt;&gt;"",IF(AND(W54&lt;&gt;"",X54&gt;W54),"Pago com atraso","Pago"),IF(W54="","Sem vencimento",IF(TODAY()&gt;W54,"Em atraso","A vencer"))))))</f>
        <v/>
      </c>
      <c r="Z54" s="43" t="str">
        <f aca="true">IF(Y54="Em atraso",TODAY()-W54,"")</f>
        <v/>
      </c>
      <c r="AA54" s="42" t="str">
        <f aca="false">IF(Y54="Em atraso",COUNTIF($Y$5:Y54,"Em atraso"),"")</f>
        <v/>
      </c>
    </row>
    <row r="55" customFormat="false" ht="15" hidden="false" customHeight="false" outlineLevel="0" collapsed="false">
      <c r="A55" s="36"/>
      <c r="B55" s="36"/>
      <c r="C55" s="36"/>
      <c r="D55" s="36"/>
      <c r="E55" s="36"/>
      <c r="F55" s="37"/>
      <c r="G55" s="36"/>
      <c r="H55" s="38"/>
      <c r="I55" s="36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40" t="n">
        <f aca="false">IF(A55="",0,IF(AND(I55="Ativo",OR(H55="",H55&lt;=EOMONTH(DATE(Painel!$C$4,Painel!$C$6,1),0))),F55,0))</f>
        <v>0</v>
      </c>
      <c r="W55" s="41" t="str">
        <f aca="false">IF(OR(V55=0,G55=""),"",DATE(Painel!$C$4,Painel!$C$6,MIN(G55,DAY(EOMONTH(DATE(Painel!$C$4,Painel!$C$6,1),0)))))</f>
        <v/>
      </c>
      <c r="X55" s="41" t="str">
        <f aca="false">IF(A55="","",IF(INDEX(J55:U55,Painel!$C$6)="","",INDEX(J55:U55,Painel!$C$6)))</f>
        <v/>
      </c>
      <c r="Y55" s="42" t="str">
        <f aca="true">IF(A55="","",IF(I55&lt;&gt;"Ativo","Inativo",IF(V55=0,"Sem cobrança",IF(X55&lt;&gt;"",IF(AND(W55&lt;&gt;"",X55&gt;W55),"Pago com atraso","Pago"),IF(W55="","Sem vencimento",IF(TODAY()&gt;W55,"Em atraso","A vencer"))))))</f>
        <v/>
      </c>
      <c r="Z55" s="43" t="str">
        <f aca="true">IF(Y55="Em atraso",TODAY()-W55,"")</f>
        <v/>
      </c>
      <c r="AA55" s="42" t="str">
        <f aca="false">IF(Y55="Em atraso",COUNTIF($Y$5:Y55,"Em atraso"),"")</f>
        <v/>
      </c>
    </row>
    <row r="56" customFormat="false" ht="15" hidden="false" customHeight="false" outlineLevel="0" collapsed="false">
      <c r="A56" s="36"/>
      <c r="B56" s="36"/>
      <c r="C56" s="36"/>
      <c r="D56" s="36"/>
      <c r="E56" s="36"/>
      <c r="F56" s="37"/>
      <c r="G56" s="36"/>
      <c r="H56" s="38"/>
      <c r="I56" s="36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40" t="n">
        <f aca="false">IF(A56="",0,IF(AND(I56="Ativo",OR(H56="",H56&lt;=EOMONTH(DATE(Painel!$C$4,Painel!$C$6,1),0))),F56,0))</f>
        <v>0</v>
      </c>
      <c r="W56" s="41" t="str">
        <f aca="false">IF(OR(V56=0,G56=""),"",DATE(Painel!$C$4,Painel!$C$6,MIN(G56,DAY(EOMONTH(DATE(Painel!$C$4,Painel!$C$6,1),0)))))</f>
        <v/>
      </c>
      <c r="X56" s="41" t="str">
        <f aca="false">IF(A56="","",IF(INDEX(J56:U56,Painel!$C$6)="","",INDEX(J56:U56,Painel!$C$6)))</f>
        <v/>
      </c>
      <c r="Y56" s="42" t="str">
        <f aca="true">IF(A56="","",IF(I56&lt;&gt;"Ativo","Inativo",IF(V56=0,"Sem cobrança",IF(X56&lt;&gt;"",IF(AND(W56&lt;&gt;"",X56&gt;W56),"Pago com atraso","Pago"),IF(W56="","Sem vencimento",IF(TODAY()&gt;W56,"Em atraso","A vencer"))))))</f>
        <v/>
      </c>
      <c r="Z56" s="43" t="str">
        <f aca="true">IF(Y56="Em atraso",TODAY()-W56,"")</f>
        <v/>
      </c>
      <c r="AA56" s="42" t="str">
        <f aca="false">IF(Y56="Em atraso",COUNTIF($Y$5:Y56,"Em atraso"),"")</f>
        <v/>
      </c>
    </row>
    <row r="57" customFormat="false" ht="15" hidden="false" customHeight="false" outlineLevel="0" collapsed="false">
      <c r="A57" s="36"/>
      <c r="B57" s="36"/>
      <c r="C57" s="36"/>
      <c r="D57" s="36"/>
      <c r="E57" s="36"/>
      <c r="F57" s="37"/>
      <c r="G57" s="36"/>
      <c r="H57" s="38"/>
      <c r="I57" s="36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40" t="n">
        <f aca="false">IF(A57="",0,IF(AND(I57="Ativo",OR(H57="",H57&lt;=EOMONTH(DATE(Painel!$C$4,Painel!$C$6,1),0))),F57,0))</f>
        <v>0</v>
      </c>
      <c r="W57" s="41" t="str">
        <f aca="false">IF(OR(V57=0,G57=""),"",DATE(Painel!$C$4,Painel!$C$6,MIN(G57,DAY(EOMONTH(DATE(Painel!$C$4,Painel!$C$6,1),0)))))</f>
        <v/>
      </c>
      <c r="X57" s="41" t="str">
        <f aca="false">IF(A57="","",IF(INDEX(J57:U57,Painel!$C$6)="","",INDEX(J57:U57,Painel!$C$6)))</f>
        <v/>
      </c>
      <c r="Y57" s="42" t="str">
        <f aca="true">IF(A57="","",IF(I57&lt;&gt;"Ativo","Inativo",IF(V57=0,"Sem cobrança",IF(X57&lt;&gt;"",IF(AND(W57&lt;&gt;"",X57&gt;W57),"Pago com atraso","Pago"),IF(W57="","Sem vencimento",IF(TODAY()&gt;W57,"Em atraso","A vencer"))))))</f>
        <v/>
      </c>
      <c r="Z57" s="43" t="str">
        <f aca="true">IF(Y57="Em atraso",TODAY()-W57,"")</f>
        <v/>
      </c>
      <c r="AA57" s="42" t="str">
        <f aca="false">IF(Y57="Em atraso",COUNTIF($Y$5:Y57,"Em atraso"),"")</f>
        <v/>
      </c>
    </row>
    <row r="58" customFormat="false" ht="15" hidden="false" customHeight="false" outlineLevel="0" collapsed="false">
      <c r="A58" s="36"/>
      <c r="B58" s="36"/>
      <c r="C58" s="36"/>
      <c r="D58" s="36"/>
      <c r="E58" s="36"/>
      <c r="F58" s="37"/>
      <c r="G58" s="36"/>
      <c r="H58" s="38"/>
      <c r="I58" s="36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40" t="n">
        <f aca="false">IF(A58="",0,IF(AND(I58="Ativo",OR(H58="",H58&lt;=EOMONTH(DATE(Painel!$C$4,Painel!$C$6,1),0))),F58,0))</f>
        <v>0</v>
      </c>
      <c r="W58" s="41" t="str">
        <f aca="false">IF(OR(V58=0,G58=""),"",DATE(Painel!$C$4,Painel!$C$6,MIN(G58,DAY(EOMONTH(DATE(Painel!$C$4,Painel!$C$6,1),0)))))</f>
        <v/>
      </c>
      <c r="X58" s="41" t="str">
        <f aca="false">IF(A58="","",IF(INDEX(J58:U58,Painel!$C$6)="","",INDEX(J58:U58,Painel!$C$6)))</f>
        <v/>
      </c>
      <c r="Y58" s="42" t="str">
        <f aca="true">IF(A58="","",IF(I58&lt;&gt;"Ativo","Inativo",IF(V58=0,"Sem cobrança",IF(X58&lt;&gt;"",IF(AND(W58&lt;&gt;"",X58&gt;W58),"Pago com atraso","Pago"),IF(W58="","Sem vencimento",IF(TODAY()&gt;W58,"Em atraso","A vencer"))))))</f>
        <v/>
      </c>
      <c r="Z58" s="43" t="str">
        <f aca="true">IF(Y58="Em atraso",TODAY()-W58,"")</f>
        <v/>
      </c>
      <c r="AA58" s="42" t="str">
        <f aca="false">IF(Y58="Em atraso",COUNTIF($Y$5:Y58,"Em atraso"),"")</f>
        <v/>
      </c>
    </row>
    <row r="59" customFormat="false" ht="15" hidden="false" customHeight="false" outlineLevel="0" collapsed="false">
      <c r="A59" s="36"/>
      <c r="B59" s="36"/>
      <c r="C59" s="36"/>
      <c r="D59" s="36"/>
      <c r="E59" s="36"/>
      <c r="F59" s="37"/>
      <c r="G59" s="36"/>
      <c r="H59" s="38"/>
      <c r="I59" s="36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40" t="n">
        <f aca="false">IF(A59="",0,IF(AND(I59="Ativo",OR(H59="",H59&lt;=EOMONTH(DATE(Painel!$C$4,Painel!$C$6,1),0))),F59,0))</f>
        <v>0</v>
      </c>
      <c r="W59" s="41" t="str">
        <f aca="false">IF(OR(V59=0,G59=""),"",DATE(Painel!$C$4,Painel!$C$6,MIN(G59,DAY(EOMONTH(DATE(Painel!$C$4,Painel!$C$6,1),0)))))</f>
        <v/>
      </c>
      <c r="X59" s="41" t="str">
        <f aca="false">IF(A59="","",IF(INDEX(J59:U59,Painel!$C$6)="","",INDEX(J59:U59,Painel!$C$6)))</f>
        <v/>
      </c>
      <c r="Y59" s="42" t="str">
        <f aca="true">IF(A59="","",IF(I59&lt;&gt;"Ativo","Inativo",IF(V59=0,"Sem cobrança",IF(X59&lt;&gt;"",IF(AND(W59&lt;&gt;"",X59&gt;W59),"Pago com atraso","Pago"),IF(W59="","Sem vencimento",IF(TODAY()&gt;W59,"Em atraso","A vencer"))))))</f>
        <v/>
      </c>
      <c r="Z59" s="43" t="str">
        <f aca="true">IF(Y59="Em atraso",TODAY()-W59,"")</f>
        <v/>
      </c>
      <c r="AA59" s="42" t="str">
        <f aca="false">IF(Y59="Em atraso",COUNTIF($Y$5:Y59,"Em atraso"),"")</f>
        <v/>
      </c>
    </row>
    <row r="60" customFormat="false" ht="15" hidden="false" customHeight="false" outlineLevel="0" collapsed="false">
      <c r="A60" s="36"/>
      <c r="B60" s="36"/>
      <c r="C60" s="36"/>
      <c r="D60" s="36"/>
      <c r="E60" s="36"/>
      <c r="F60" s="37"/>
      <c r="G60" s="36"/>
      <c r="H60" s="38"/>
      <c r="I60" s="36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40" t="n">
        <f aca="false">IF(A60="",0,IF(AND(I60="Ativo",OR(H60="",H60&lt;=EOMONTH(DATE(Painel!$C$4,Painel!$C$6,1),0))),F60,0))</f>
        <v>0</v>
      </c>
      <c r="W60" s="41" t="str">
        <f aca="false">IF(OR(V60=0,G60=""),"",DATE(Painel!$C$4,Painel!$C$6,MIN(G60,DAY(EOMONTH(DATE(Painel!$C$4,Painel!$C$6,1),0)))))</f>
        <v/>
      </c>
      <c r="X60" s="41" t="str">
        <f aca="false">IF(A60="","",IF(INDEX(J60:U60,Painel!$C$6)="","",INDEX(J60:U60,Painel!$C$6)))</f>
        <v/>
      </c>
      <c r="Y60" s="42" t="str">
        <f aca="true">IF(A60="","",IF(I60&lt;&gt;"Ativo","Inativo",IF(V60=0,"Sem cobrança",IF(X60&lt;&gt;"",IF(AND(W60&lt;&gt;"",X60&gt;W60),"Pago com atraso","Pago"),IF(W60="","Sem vencimento",IF(TODAY()&gt;W60,"Em atraso","A vencer"))))))</f>
        <v/>
      </c>
      <c r="Z60" s="43" t="str">
        <f aca="true">IF(Y60="Em atraso",TODAY()-W60,"")</f>
        <v/>
      </c>
      <c r="AA60" s="42" t="str">
        <f aca="false">IF(Y60="Em atraso",COUNTIF($Y$5:Y60,"Em atraso"),"")</f>
        <v/>
      </c>
    </row>
    <row r="61" customFormat="false" ht="15" hidden="false" customHeight="false" outlineLevel="0" collapsed="false">
      <c r="A61" s="36"/>
      <c r="B61" s="36"/>
      <c r="C61" s="36"/>
      <c r="D61" s="36"/>
      <c r="E61" s="36"/>
      <c r="F61" s="37"/>
      <c r="G61" s="36"/>
      <c r="H61" s="38"/>
      <c r="I61" s="36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40" t="n">
        <f aca="false">IF(A61="",0,IF(AND(I61="Ativo",OR(H61="",H61&lt;=EOMONTH(DATE(Painel!$C$4,Painel!$C$6,1),0))),F61,0))</f>
        <v>0</v>
      </c>
      <c r="W61" s="41" t="str">
        <f aca="false">IF(OR(V61=0,G61=""),"",DATE(Painel!$C$4,Painel!$C$6,MIN(G61,DAY(EOMONTH(DATE(Painel!$C$4,Painel!$C$6,1),0)))))</f>
        <v/>
      </c>
      <c r="X61" s="41" t="str">
        <f aca="false">IF(A61="","",IF(INDEX(J61:U61,Painel!$C$6)="","",INDEX(J61:U61,Painel!$C$6)))</f>
        <v/>
      </c>
      <c r="Y61" s="42" t="str">
        <f aca="true">IF(A61="","",IF(I61&lt;&gt;"Ativo","Inativo",IF(V61=0,"Sem cobrança",IF(X61&lt;&gt;"",IF(AND(W61&lt;&gt;"",X61&gt;W61),"Pago com atraso","Pago"),IF(W61="","Sem vencimento",IF(TODAY()&gt;W61,"Em atraso","A vencer"))))))</f>
        <v/>
      </c>
      <c r="Z61" s="43" t="str">
        <f aca="true">IF(Y61="Em atraso",TODAY()-W61,"")</f>
        <v/>
      </c>
      <c r="AA61" s="42" t="str">
        <f aca="false">IF(Y61="Em atraso",COUNTIF($Y$5:Y61,"Em atraso"),"")</f>
        <v/>
      </c>
    </row>
    <row r="62" customFormat="false" ht="15" hidden="false" customHeight="false" outlineLevel="0" collapsed="false">
      <c r="A62" s="36"/>
      <c r="B62" s="36"/>
      <c r="C62" s="36"/>
      <c r="D62" s="36"/>
      <c r="E62" s="36"/>
      <c r="F62" s="37"/>
      <c r="G62" s="36"/>
      <c r="H62" s="38"/>
      <c r="I62" s="36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40" t="n">
        <f aca="false">IF(A62="",0,IF(AND(I62="Ativo",OR(H62="",H62&lt;=EOMONTH(DATE(Painel!$C$4,Painel!$C$6,1),0))),F62,0))</f>
        <v>0</v>
      </c>
      <c r="W62" s="41" t="str">
        <f aca="false">IF(OR(V62=0,G62=""),"",DATE(Painel!$C$4,Painel!$C$6,MIN(G62,DAY(EOMONTH(DATE(Painel!$C$4,Painel!$C$6,1),0)))))</f>
        <v/>
      </c>
      <c r="X62" s="41" t="str">
        <f aca="false">IF(A62="","",IF(INDEX(J62:U62,Painel!$C$6)="","",INDEX(J62:U62,Painel!$C$6)))</f>
        <v/>
      </c>
      <c r="Y62" s="42" t="str">
        <f aca="true">IF(A62="","",IF(I62&lt;&gt;"Ativo","Inativo",IF(V62=0,"Sem cobrança",IF(X62&lt;&gt;"",IF(AND(W62&lt;&gt;"",X62&gt;W62),"Pago com atraso","Pago"),IF(W62="","Sem vencimento",IF(TODAY()&gt;W62,"Em atraso","A vencer"))))))</f>
        <v/>
      </c>
      <c r="Z62" s="43" t="str">
        <f aca="true">IF(Y62="Em atraso",TODAY()-W62,"")</f>
        <v/>
      </c>
      <c r="AA62" s="42" t="str">
        <f aca="false">IF(Y62="Em atraso",COUNTIF($Y$5:Y62,"Em atraso"),"")</f>
        <v/>
      </c>
    </row>
    <row r="63" customFormat="false" ht="15" hidden="false" customHeight="false" outlineLevel="0" collapsed="false">
      <c r="A63" s="36"/>
      <c r="B63" s="36"/>
      <c r="C63" s="36"/>
      <c r="D63" s="36"/>
      <c r="E63" s="36"/>
      <c r="F63" s="37"/>
      <c r="G63" s="36"/>
      <c r="H63" s="38"/>
      <c r="I63" s="36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0" t="n">
        <f aca="false">IF(A63="",0,IF(AND(I63="Ativo",OR(H63="",H63&lt;=EOMONTH(DATE(Painel!$C$4,Painel!$C$6,1),0))),F63,0))</f>
        <v>0</v>
      </c>
      <c r="W63" s="41" t="str">
        <f aca="false">IF(OR(V63=0,G63=""),"",DATE(Painel!$C$4,Painel!$C$6,MIN(G63,DAY(EOMONTH(DATE(Painel!$C$4,Painel!$C$6,1),0)))))</f>
        <v/>
      </c>
      <c r="X63" s="41" t="str">
        <f aca="false">IF(A63="","",IF(INDEX(J63:U63,Painel!$C$6)="","",INDEX(J63:U63,Painel!$C$6)))</f>
        <v/>
      </c>
      <c r="Y63" s="42" t="str">
        <f aca="true">IF(A63="","",IF(I63&lt;&gt;"Ativo","Inativo",IF(V63=0,"Sem cobrança",IF(X63&lt;&gt;"",IF(AND(W63&lt;&gt;"",X63&gt;W63),"Pago com atraso","Pago"),IF(W63="","Sem vencimento",IF(TODAY()&gt;W63,"Em atraso","A vencer"))))))</f>
        <v/>
      </c>
      <c r="Z63" s="43" t="str">
        <f aca="true">IF(Y63="Em atraso",TODAY()-W63,"")</f>
        <v/>
      </c>
      <c r="AA63" s="42" t="str">
        <f aca="false">IF(Y63="Em atraso",COUNTIF($Y$5:Y63,"Em atraso"),"")</f>
        <v/>
      </c>
    </row>
    <row r="64" customFormat="false" ht="15" hidden="false" customHeight="false" outlineLevel="0" collapsed="false">
      <c r="A64" s="36"/>
      <c r="B64" s="36"/>
      <c r="C64" s="36"/>
      <c r="D64" s="36"/>
      <c r="E64" s="36"/>
      <c r="F64" s="37"/>
      <c r="G64" s="36"/>
      <c r="H64" s="38"/>
      <c r="I64" s="36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40" t="n">
        <f aca="false">IF(A64="",0,IF(AND(I64="Ativo",OR(H64="",H64&lt;=EOMONTH(DATE(Painel!$C$4,Painel!$C$6,1),0))),F64,0))</f>
        <v>0</v>
      </c>
      <c r="W64" s="41" t="str">
        <f aca="false">IF(OR(V64=0,G64=""),"",DATE(Painel!$C$4,Painel!$C$6,MIN(G64,DAY(EOMONTH(DATE(Painel!$C$4,Painel!$C$6,1),0)))))</f>
        <v/>
      </c>
      <c r="X64" s="41" t="str">
        <f aca="false">IF(A64="","",IF(INDEX(J64:U64,Painel!$C$6)="","",INDEX(J64:U64,Painel!$C$6)))</f>
        <v/>
      </c>
      <c r="Y64" s="42" t="str">
        <f aca="true">IF(A64="","",IF(I64&lt;&gt;"Ativo","Inativo",IF(V64=0,"Sem cobrança",IF(X64&lt;&gt;"",IF(AND(W64&lt;&gt;"",X64&gt;W64),"Pago com atraso","Pago"),IF(W64="","Sem vencimento",IF(TODAY()&gt;W64,"Em atraso","A vencer"))))))</f>
        <v/>
      </c>
      <c r="Z64" s="43" t="str">
        <f aca="true">IF(Y64="Em atraso",TODAY()-W64,"")</f>
        <v/>
      </c>
      <c r="AA64" s="42" t="str">
        <f aca="false">IF(Y64="Em atraso",COUNTIF($Y$5:Y64,"Em atraso"),"")</f>
        <v/>
      </c>
    </row>
    <row r="65" customFormat="false" ht="15" hidden="false" customHeight="false" outlineLevel="0" collapsed="false">
      <c r="A65" s="36"/>
      <c r="B65" s="36"/>
      <c r="C65" s="36"/>
      <c r="D65" s="36"/>
      <c r="E65" s="36"/>
      <c r="F65" s="37"/>
      <c r="G65" s="36"/>
      <c r="H65" s="38"/>
      <c r="I65" s="36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40" t="n">
        <f aca="false">IF(A65="",0,IF(AND(I65="Ativo",OR(H65="",H65&lt;=EOMONTH(DATE(Painel!$C$4,Painel!$C$6,1),0))),F65,0))</f>
        <v>0</v>
      </c>
      <c r="W65" s="41" t="str">
        <f aca="false">IF(OR(V65=0,G65=""),"",DATE(Painel!$C$4,Painel!$C$6,MIN(G65,DAY(EOMONTH(DATE(Painel!$C$4,Painel!$C$6,1),0)))))</f>
        <v/>
      </c>
      <c r="X65" s="41" t="str">
        <f aca="false">IF(A65="","",IF(INDEX(J65:U65,Painel!$C$6)="","",INDEX(J65:U65,Painel!$C$6)))</f>
        <v/>
      </c>
      <c r="Y65" s="42" t="str">
        <f aca="true">IF(A65="","",IF(I65&lt;&gt;"Ativo","Inativo",IF(V65=0,"Sem cobrança",IF(X65&lt;&gt;"",IF(AND(W65&lt;&gt;"",X65&gt;W65),"Pago com atraso","Pago"),IF(W65="","Sem vencimento",IF(TODAY()&gt;W65,"Em atraso","A vencer"))))))</f>
        <v/>
      </c>
      <c r="Z65" s="43" t="str">
        <f aca="true">IF(Y65="Em atraso",TODAY()-W65,"")</f>
        <v/>
      </c>
      <c r="AA65" s="42" t="str">
        <f aca="false">IF(Y65="Em atraso",COUNTIF($Y$5:Y65,"Em atraso"),"")</f>
        <v/>
      </c>
    </row>
    <row r="66" customFormat="false" ht="15" hidden="false" customHeight="false" outlineLevel="0" collapsed="false">
      <c r="A66" s="36"/>
      <c r="B66" s="36"/>
      <c r="C66" s="36"/>
      <c r="D66" s="36"/>
      <c r="E66" s="36"/>
      <c r="F66" s="37"/>
      <c r="G66" s="36"/>
      <c r="H66" s="38"/>
      <c r="I66" s="36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 t="n">
        <f aca="false">IF(A66="",0,IF(AND(I66="Ativo",OR(H66="",H66&lt;=EOMONTH(DATE(Painel!$C$4,Painel!$C$6,1),0))),F66,0))</f>
        <v>0</v>
      </c>
      <c r="W66" s="41" t="str">
        <f aca="false">IF(OR(V66=0,G66=""),"",DATE(Painel!$C$4,Painel!$C$6,MIN(G66,DAY(EOMONTH(DATE(Painel!$C$4,Painel!$C$6,1),0)))))</f>
        <v/>
      </c>
      <c r="X66" s="41" t="str">
        <f aca="false">IF(A66="","",IF(INDEX(J66:U66,Painel!$C$6)="","",INDEX(J66:U66,Painel!$C$6)))</f>
        <v/>
      </c>
      <c r="Y66" s="42" t="str">
        <f aca="true">IF(A66="","",IF(I66&lt;&gt;"Ativo","Inativo",IF(V66=0,"Sem cobrança",IF(X66&lt;&gt;"",IF(AND(W66&lt;&gt;"",X66&gt;W66),"Pago com atraso","Pago"),IF(W66="","Sem vencimento",IF(TODAY()&gt;W66,"Em atraso","A vencer"))))))</f>
        <v/>
      </c>
      <c r="Z66" s="43" t="str">
        <f aca="true">IF(Y66="Em atraso",TODAY()-W66,"")</f>
        <v/>
      </c>
      <c r="AA66" s="42" t="str">
        <f aca="false">IF(Y66="Em atraso",COUNTIF($Y$5:Y66,"Em atraso"),"")</f>
        <v/>
      </c>
    </row>
    <row r="67" customFormat="false" ht="15" hidden="false" customHeight="false" outlineLevel="0" collapsed="false">
      <c r="A67" s="36"/>
      <c r="B67" s="36"/>
      <c r="C67" s="36"/>
      <c r="D67" s="36"/>
      <c r="E67" s="36"/>
      <c r="F67" s="37"/>
      <c r="G67" s="36"/>
      <c r="H67" s="38"/>
      <c r="I67" s="36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 t="n">
        <f aca="false">IF(A67="",0,IF(AND(I67="Ativo",OR(H67="",H67&lt;=EOMONTH(DATE(Painel!$C$4,Painel!$C$6,1),0))),F67,0))</f>
        <v>0</v>
      </c>
      <c r="W67" s="41" t="str">
        <f aca="false">IF(OR(V67=0,G67=""),"",DATE(Painel!$C$4,Painel!$C$6,MIN(G67,DAY(EOMONTH(DATE(Painel!$C$4,Painel!$C$6,1),0)))))</f>
        <v/>
      </c>
      <c r="X67" s="41" t="str">
        <f aca="false">IF(A67="","",IF(INDEX(J67:U67,Painel!$C$6)="","",INDEX(J67:U67,Painel!$C$6)))</f>
        <v/>
      </c>
      <c r="Y67" s="42" t="str">
        <f aca="true">IF(A67="","",IF(I67&lt;&gt;"Ativo","Inativo",IF(V67=0,"Sem cobrança",IF(X67&lt;&gt;"",IF(AND(W67&lt;&gt;"",X67&gt;W67),"Pago com atraso","Pago"),IF(W67="","Sem vencimento",IF(TODAY()&gt;W67,"Em atraso","A vencer"))))))</f>
        <v/>
      </c>
      <c r="Z67" s="43" t="str">
        <f aca="true">IF(Y67="Em atraso",TODAY()-W67,"")</f>
        <v/>
      </c>
      <c r="AA67" s="42" t="str">
        <f aca="false">IF(Y67="Em atraso",COUNTIF($Y$5:Y67,"Em atraso"),"")</f>
        <v/>
      </c>
    </row>
    <row r="68" customFormat="false" ht="15" hidden="false" customHeight="false" outlineLevel="0" collapsed="false">
      <c r="A68" s="36"/>
      <c r="B68" s="36"/>
      <c r="C68" s="36"/>
      <c r="D68" s="36"/>
      <c r="E68" s="36"/>
      <c r="F68" s="37"/>
      <c r="G68" s="36"/>
      <c r="H68" s="38"/>
      <c r="I68" s="36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40" t="n">
        <f aca="false">IF(A68="",0,IF(AND(I68="Ativo",OR(H68="",H68&lt;=EOMONTH(DATE(Painel!$C$4,Painel!$C$6,1),0))),F68,0))</f>
        <v>0</v>
      </c>
      <c r="W68" s="41" t="str">
        <f aca="false">IF(OR(V68=0,G68=""),"",DATE(Painel!$C$4,Painel!$C$6,MIN(G68,DAY(EOMONTH(DATE(Painel!$C$4,Painel!$C$6,1),0)))))</f>
        <v/>
      </c>
      <c r="X68" s="41" t="str">
        <f aca="false">IF(A68="","",IF(INDEX(J68:U68,Painel!$C$6)="","",INDEX(J68:U68,Painel!$C$6)))</f>
        <v/>
      </c>
      <c r="Y68" s="42" t="str">
        <f aca="true">IF(A68="","",IF(I68&lt;&gt;"Ativo","Inativo",IF(V68=0,"Sem cobrança",IF(X68&lt;&gt;"",IF(AND(W68&lt;&gt;"",X68&gt;W68),"Pago com atraso","Pago"),IF(W68="","Sem vencimento",IF(TODAY()&gt;W68,"Em atraso","A vencer"))))))</f>
        <v/>
      </c>
      <c r="Z68" s="43" t="str">
        <f aca="true">IF(Y68="Em atraso",TODAY()-W68,"")</f>
        <v/>
      </c>
      <c r="AA68" s="42" t="str">
        <f aca="false">IF(Y68="Em atraso",COUNTIF($Y$5:Y68,"Em atraso"),"")</f>
        <v/>
      </c>
    </row>
    <row r="69" customFormat="false" ht="15" hidden="false" customHeight="false" outlineLevel="0" collapsed="false">
      <c r="A69" s="36"/>
      <c r="B69" s="36"/>
      <c r="C69" s="36"/>
      <c r="D69" s="36"/>
      <c r="E69" s="36"/>
      <c r="F69" s="37"/>
      <c r="G69" s="36"/>
      <c r="H69" s="38"/>
      <c r="I69" s="36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0" t="n">
        <f aca="false">IF(A69="",0,IF(AND(I69="Ativo",OR(H69="",H69&lt;=EOMONTH(DATE(Painel!$C$4,Painel!$C$6,1),0))),F69,0))</f>
        <v>0</v>
      </c>
      <c r="W69" s="41" t="str">
        <f aca="false">IF(OR(V69=0,G69=""),"",DATE(Painel!$C$4,Painel!$C$6,MIN(G69,DAY(EOMONTH(DATE(Painel!$C$4,Painel!$C$6,1),0)))))</f>
        <v/>
      </c>
      <c r="X69" s="41" t="str">
        <f aca="false">IF(A69="","",IF(INDEX(J69:U69,Painel!$C$6)="","",INDEX(J69:U69,Painel!$C$6)))</f>
        <v/>
      </c>
      <c r="Y69" s="42" t="str">
        <f aca="true">IF(A69="","",IF(I69&lt;&gt;"Ativo","Inativo",IF(V69=0,"Sem cobrança",IF(X69&lt;&gt;"",IF(AND(W69&lt;&gt;"",X69&gt;W69),"Pago com atraso","Pago"),IF(W69="","Sem vencimento",IF(TODAY()&gt;W69,"Em atraso","A vencer"))))))</f>
        <v/>
      </c>
      <c r="Z69" s="43" t="str">
        <f aca="true">IF(Y69="Em atraso",TODAY()-W69,"")</f>
        <v/>
      </c>
      <c r="AA69" s="42" t="str">
        <f aca="false">IF(Y69="Em atraso",COUNTIF($Y$5:Y69,"Em atraso"),"")</f>
        <v/>
      </c>
    </row>
    <row r="70" customFormat="false" ht="15" hidden="false" customHeight="false" outlineLevel="0" collapsed="false">
      <c r="A70" s="36"/>
      <c r="B70" s="36"/>
      <c r="C70" s="36"/>
      <c r="D70" s="36"/>
      <c r="E70" s="36"/>
      <c r="F70" s="37"/>
      <c r="G70" s="36"/>
      <c r="H70" s="38"/>
      <c r="I70" s="36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40" t="n">
        <f aca="false">IF(A70="",0,IF(AND(I70="Ativo",OR(H70="",H70&lt;=EOMONTH(DATE(Painel!$C$4,Painel!$C$6,1),0))),F70,0))</f>
        <v>0</v>
      </c>
      <c r="W70" s="41" t="str">
        <f aca="false">IF(OR(V70=0,G70=""),"",DATE(Painel!$C$4,Painel!$C$6,MIN(G70,DAY(EOMONTH(DATE(Painel!$C$4,Painel!$C$6,1),0)))))</f>
        <v/>
      </c>
      <c r="X70" s="41" t="str">
        <f aca="false">IF(A70="","",IF(INDEX(J70:U70,Painel!$C$6)="","",INDEX(J70:U70,Painel!$C$6)))</f>
        <v/>
      </c>
      <c r="Y70" s="42" t="str">
        <f aca="true">IF(A70="","",IF(I70&lt;&gt;"Ativo","Inativo",IF(V70=0,"Sem cobrança",IF(X70&lt;&gt;"",IF(AND(W70&lt;&gt;"",X70&gt;W70),"Pago com atraso","Pago"),IF(W70="","Sem vencimento",IF(TODAY()&gt;W70,"Em atraso","A vencer"))))))</f>
        <v/>
      </c>
      <c r="Z70" s="43" t="str">
        <f aca="true">IF(Y70="Em atraso",TODAY()-W70,"")</f>
        <v/>
      </c>
      <c r="AA70" s="42" t="str">
        <f aca="false">IF(Y70="Em atraso",COUNTIF($Y$5:Y70,"Em atraso"),"")</f>
        <v/>
      </c>
    </row>
    <row r="71" customFormat="false" ht="15" hidden="false" customHeight="false" outlineLevel="0" collapsed="false">
      <c r="A71" s="36"/>
      <c r="B71" s="36"/>
      <c r="C71" s="36"/>
      <c r="D71" s="36"/>
      <c r="E71" s="36"/>
      <c r="F71" s="37"/>
      <c r="G71" s="36"/>
      <c r="H71" s="38"/>
      <c r="I71" s="36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40" t="n">
        <f aca="false">IF(A71="",0,IF(AND(I71="Ativo",OR(H71="",H71&lt;=EOMONTH(DATE(Painel!$C$4,Painel!$C$6,1),0))),F71,0))</f>
        <v>0</v>
      </c>
      <c r="W71" s="41" t="str">
        <f aca="false">IF(OR(V71=0,G71=""),"",DATE(Painel!$C$4,Painel!$C$6,MIN(G71,DAY(EOMONTH(DATE(Painel!$C$4,Painel!$C$6,1),0)))))</f>
        <v/>
      </c>
      <c r="X71" s="41" t="str">
        <f aca="false">IF(A71="","",IF(INDEX(J71:U71,Painel!$C$6)="","",INDEX(J71:U71,Painel!$C$6)))</f>
        <v/>
      </c>
      <c r="Y71" s="42" t="str">
        <f aca="true">IF(A71="","",IF(I71&lt;&gt;"Ativo","Inativo",IF(V71=0,"Sem cobrança",IF(X71&lt;&gt;"",IF(AND(W71&lt;&gt;"",X71&gt;W71),"Pago com atraso","Pago"),IF(W71="","Sem vencimento",IF(TODAY()&gt;W71,"Em atraso","A vencer"))))))</f>
        <v/>
      </c>
      <c r="Z71" s="43" t="str">
        <f aca="true">IF(Y71="Em atraso",TODAY()-W71,"")</f>
        <v/>
      </c>
      <c r="AA71" s="42" t="str">
        <f aca="false">IF(Y71="Em atraso",COUNTIF($Y$5:Y71,"Em atraso"),"")</f>
        <v/>
      </c>
    </row>
    <row r="72" customFormat="false" ht="15" hidden="false" customHeight="false" outlineLevel="0" collapsed="false">
      <c r="A72" s="36"/>
      <c r="B72" s="36"/>
      <c r="C72" s="36"/>
      <c r="D72" s="36"/>
      <c r="E72" s="36"/>
      <c r="F72" s="37"/>
      <c r="G72" s="36"/>
      <c r="H72" s="38"/>
      <c r="I72" s="36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 t="n">
        <f aca="false">IF(A72="",0,IF(AND(I72="Ativo",OR(H72="",H72&lt;=EOMONTH(DATE(Painel!$C$4,Painel!$C$6,1),0))),F72,0))</f>
        <v>0</v>
      </c>
      <c r="W72" s="41" t="str">
        <f aca="false">IF(OR(V72=0,G72=""),"",DATE(Painel!$C$4,Painel!$C$6,MIN(G72,DAY(EOMONTH(DATE(Painel!$C$4,Painel!$C$6,1),0)))))</f>
        <v/>
      </c>
      <c r="X72" s="41" t="str">
        <f aca="false">IF(A72="","",IF(INDEX(J72:U72,Painel!$C$6)="","",INDEX(J72:U72,Painel!$C$6)))</f>
        <v/>
      </c>
      <c r="Y72" s="42" t="str">
        <f aca="true">IF(A72="","",IF(I72&lt;&gt;"Ativo","Inativo",IF(V72=0,"Sem cobrança",IF(X72&lt;&gt;"",IF(AND(W72&lt;&gt;"",X72&gt;W72),"Pago com atraso","Pago"),IF(W72="","Sem vencimento",IF(TODAY()&gt;W72,"Em atraso","A vencer"))))))</f>
        <v/>
      </c>
      <c r="Z72" s="43" t="str">
        <f aca="true">IF(Y72="Em atraso",TODAY()-W72,"")</f>
        <v/>
      </c>
      <c r="AA72" s="42" t="str">
        <f aca="false">IF(Y72="Em atraso",COUNTIF($Y$5:Y72,"Em atraso"),"")</f>
        <v/>
      </c>
    </row>
    <row r="73" customFormat="false" ht="15" hidden="false" customHeight="false" outlineLevel="0" collapsed="false">
      <c r="A73" s="36"/>
      <c r="B73" s="36"/>
      <c r="C73" s="36"/>
      <c r="D73" s="36"/>
      <c r="E73" s="36"/>
      <c r="F73" s="37"/>
      <c r="G73" s="36"/>
      <c r="H73" s="38"/>
      <c r="I73" s="36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40" t="n">
        <f aca="false">IF(A73="",0,IF(AND(I73="Ativo",OR(H73="",H73&lt;=EOMONTH(DATE(Painel!$C$4,Painel!$C$6,1),0))),F73,0))</f>
        <v>0</v>
      </c>
      <c r="W73" s="41" t="str">
        <f aca="false">IF(OR(V73=0,G73=""),"",DATE(Painel!$C$4,Painel!$C$6,MIN(G73,DAY(EOMONTH(DATE(Painel!$C$4,Painel!$C$6,1),0)))))</f>
        <v/>
      </c>
      <c r="X73" s="41" t="str">
        <f aca="false">IF(A73="","",IF(INDEX(J73:U73,Painel!$C$6)="","",INDEX(J73:U73,Painel!$C$6)))</f>
        <v/>
      </c>
      <c r="Y73" s="42" t="str">
        <f aca="true">IF(A73="","",IF(I73&lt;&gt;"Ativo","Inativo",IF(V73=0,"Sem cobrança",IF(X73&lt;&gt;"",IF(AND(W73&lt;&gt;"",X73&gt;W73),"Pago com atraso","Pago"),IF(W73="","Sem vencimento",IF(TODAY()&gt;W73,"Em atraso","A vencer"))))))</f>
        <v/>
      </c>
      <c r="Z73" s="43" t="str">
        <f aca="true">IF(Y73="Em atraso",TODAY()-W73,"")</f>
        <v/>
      </c>
      <c r="AA73" s="42" t="str">
        <f aca="false">IF(Y73="Em atraso",COUNTIF($Y$5:Y73,"Em atraso"),"")</f>
        <v/>
      </c>
    </row>
    <row r="74" customFormat="false" ht="15" hidden="false" customHeight="false" outlineLevel="0" collapsed="false">
      <c r="A74" s="36"/>
      <c r="B74" s="36"/>
      <c r="C74" s="36"/>
      <c r="D74" s="36"/>
      <c r="E74" s="36"/>
      <c r="F74" s="37"/>
      <c r="G74" s="36"/>
      <c r="H74" s="38"/>
      <c r="I74" s="36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40" t="n">
        <f aca="false">IF(A74="",0,IF(AND(I74="Ativo",OR(H74="",H74&lt;=EOMONTH(DATE(Painel!$C$4,Painel!$C$6,1),0))),F74,0))</f>
        <v>0</v>
      </c>
      <c r="W74" s="41" t="str">
        <f aca="false">IF(OR(V74=0,G74=""),"",DATE(Painel!$C$4,Painel!$C$6,MIN(G74,DAY(EOMONTH(DATE(Painel!$C$4,Painel!$C$6,1),0)))))</f>
        <v/>
      </c>
      <c r="X74" s="41" t="str">
        <f aca="false">IF(A74="","",IF(INDEX(J74:U74,Painel!$C$6)="","",INDEX(J74:U74,Painel!$C$6)))</f>
        <v/>
      </c>
      <c r="Y74" s="42" t="str">
        <f aca="true">IF(A74="","",IF(I74&lt;&gt;"Ativo","Inativo",IF(V74=0,"Sem cobrança",IF(X74&lt;&gt;"",IF(AND(W74&lt;&gt;"",X74&gt;W74),"Pago com atraso","Pago"),IF(W74="","Sem vencimento",IF(TODAY()&gt;W74,"Em atraso","A vencer"))))))</f>
        <v/>
      </c>
      <c r="Z74" s="43" t="str">
        <f aca="true">IF(Y74="Em atraso",TODAY()-W74,"")</f>
        <v/>
      </c>
      <c r="AA74" s="42" t="str">
        <f aca="false">IF(Y74="Em atraso",COUNTIF($Y$5:Y74,"Em atraso"),"")</f>
        <v/>
      </c>
    </row>
    <row r="75" customFormat="false" ht="15" hidden="false" customHeight="false" outlineLevel="0" collapsed="false">
      <c r="A75" s="36"/>
      <c r="B75" s="36"/>
      <c r="C75" s="36"/>
      <c r="D75" s="36"/>
      <c r="E75" s="36"/>
      <c r="F75" s="37"/>
      <c r="G75" s="36"/>
      <c r="H75" s="38"/>
      <c r="I75" s="36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40" t="n">
        <f aca="false">IF(A75="",0,IF(AND(I75="Ativo",OR(H75="",H75&lt;=EOMONTH(DATE(Painel!$C$4,Painel!$C$6,1),0))),F75,0))</f>
        <v>0</v>
      </c>
      <c r="W75" s="41" t="str">
        <f aca="false">IF(OR(V75=0,G75=""),"",DATE(Painel!$C$4,Painel!$C$6,MIN(G75,DAY(EOMONTH(DATE(Painel!$C$4,Painel!$C$6,1),0)))))</f>
        <v/>
      </c>
      <c r="X75" s="41" t="str">
        <f aca="false">IF(A75="","",IF(INDEX(J75:U75,Painel!$C$6)="","",INDEX(J75:U75,Painel!$C$6)))</f>
        <v/>
      </c>
      <c r="Y75" s="42" t="str">
        <f aca="true">IF(A75="","",IF(I75&lt;&gt;"Ativo","Inativo",IF(V75=0,"Sem cobrança",IF(X75&lt;&gt;"",IF(AND(W75&lt;&gt;"",X75&gt;W75),"Pago com atraso","Pago"),IF(W75="","Sem vencimento",IF(TODAY()&gt;W75,"Em atraso","A vencer"))))))</f>
        <v/>
      </c>
      <c r="Z75" s="43" t="str">
        <f aca="true">IF(Y75="Em atraso",TODAY()-W75,"")</f>
        <v/>
      </c>
      <c r="AA75" s="42" t="str">
        <f aca="false">IF(Y75="Em atraso",COUNTIF($Y$5:Y75,"Em atraso"),"")</f>
        <v/>
      </c>
    </row>
    <row r="76" customFormat="false" ht="15" hidden="false" customHeight="false" outlineLevel="0" collapsed="false">
      <c r="A76" s="36"/>
      <c r="B76" s="36"/>
      <c r="C76" s="36"/>
      <c r="D76" s="36"/>
      <c r="E76" s="36"/>
      <c r="F76" s="37"/>
      <c r="G76" s="36"/>
      <c r="H76" s="38"/>
      <c r="I76" s="36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40" t="n">
        <f aca="false">IF(A76="",0,IF(AND(I76="Ativo",OR(H76="",H76&lt;=EOMONTH(DATE(Painel!$C$4,Painel!$C$6,1),0))),F76,0))</f>
        <v>0</v>
      </c>
      <c r="W76" s="41" t="str">
        <f aca="false">IF(OR(V76=0,G76=""),"",DATE(Painel!$C$4,Painel!$C$6,MIN(G76,DAY(EOMONTH(DATE(Painel!$C$4,Painel!$C$6,1),0)))))</f>
        <v/>
      </c>
      <c r="X76" s="41" t="str">
        <f aca="false">IF(A76="","",IF(INDEX(J76:U76,Painel!$C$6)="","",INDEX(J76:U76,Painel!$C$6)))</f>
        <v/>
      </c>
      <c r="Y76" s="42" t="str">
        <f aca="true">IF(A76="","",IF(I76&lt;&gt;"Ativo","Inativo",IF(V76=0,"Sem cobrança",IF(X76&lt;&gt;"",IF(AND(W76&lt;&gt;"",X76&gt;W76),"Pago com atraso","Pago"),IF(W76="","Sem vencimento",IF(TODAY()&gt;W76,"Em atraso","A vencer"))))))</f>
        <v/>
      </c>
      <c r="Z76" s="43" t="str">
        <f aca="true">IF(Y76="Em atraso",TODAY()-W76,"")</f>
        <v/>
      </c>
      <c r="AA76" s="42" t="str">
        <f aca="false">IF(Y76="Em atraso",COUNTIF($Y$5:Y76,"Em atraso"),"")</f>
        <v/>
      </c>
    </row>
    <row r="77" customFormat="false" ht="15" hidden="false" customHeight="false" outlineLevel="0" collapsed="false">
      <c r="A77" s="36"/>
      <c r="B77" s="36"/>
      <c r="C77" s="36"/>
      <c r="D77" s="36"/>
      <c r="E77" s="36"/>
      <c r="F77" s="37"/>
      <c r="G77" s="36"/>
      <c r="H77" s="38"/>
      <c r="I77" s="36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 t="n">
        <f aca="false">IF(A77="",0,IF(AND(I77="Ativo",OR(H77="",H77&lt;=EOMONTH(DATE(Painel!$C$4,Painel!$C$6,1),0))),F77,0))</f>
        <v>0</v>
      </c>
      <c r="W77" s="41" t="str">
        <f aca="false">IF(OR(V77=0,G77=""),"",DATE(Painel!$C$4,Painel!$C$6,MIN(G77,DAY(EOMONTH(DATE(Painel!$C$4,Painel!$C$6,1),0)))))</f>
        <v/>
      </c>
      <c r="X77" s="41" t="str">
        <f aca="false">IF(A77="","",IF(INDEX(J77:U77,Painel!$C$6)="","",INDEX(J77:U77,Painel!$C$6)))</f>
        <v/>
      </c>
      <c r="Y77" s="42" t="str">
        <f aca="true">IF(A77="","",IF(I77&lt;&gt;"Ativo","Inativo",IF(V77=0,"Sem cobrança",IF(X77&lt;&gt;"",IF(AND(W77&lt;&gt;"",X77&gt;W77),"Pago com atraso","Pago"),IF(W77="","Sem vencimento",IF(TODAY()&gt;W77,"Em atraso","A vencer"))))))</f>
        <v/>
      </c>
      <c r="Z77" s="43" t="str">
        <f aca="true">IF(Y77="Em atraso",TODAY()-W77,"")</f>
        <v/>
      </c>
      <c r="AA77" s="42" t="str">
        <f aca="false">IF(Y77="Em atraso",COUNTIF($Y$5:Y77,"Em atraso"),"")</f>
        <v/>
      </c>
    </row>
    <row r="78" customFormat="false" ht="15" hidden="false" customHeight="false" outlineLevel="0" collapsed="false">
      <c r="A78" s="36"/>
      <c r="B78" s="36"/>
      <c r="C78" s="36"/>
      <c r="D78" s="36"/>
      <c r="E78" s="36"/>
      <c r="F78" s="37"/>
      <c r="G78" s="36"/>
      <c r="H78" s="38"/>
      <c r="I78" s="36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40" t="n">
        <f aca="false">IF(A78="",0,IF(AND(I78="Ativo",OR(H78="",H78&lt;=EOMONTH(DATE(Painel!$C$4,Painel!$C$6,1),0))),F78,0))</f>
        <v>0</v>
      </c>
      <c r="W78" s="41" t="str">
        <f aca="false">IF(OR(V78=0,G78=""),"",DATE(Painel!$C$4,Painel!$C$6,MIN(G78,DAY(EOMONTH(DATE(Painel!$C$4,Painel!$C$6,1),0)))))</f>
        <v/>
      </c>
      <c r="X78" s="41" t="str">
        <f aca="false">IF(A78="","",IF(INDEX(J78:U78,Painel!$C$6)="","",INDEX(J78:U78,Painel!$C$6)))</f>
        <v/>
      </c>
      <c r="Y78" s="42" t="str">
        <f aca="true">IF(A78="","",IF(I78&lt;&gt;"Ativo","Inativo",IF(V78=0,"Sem cobrança",IF(X78&lt;&gt;"",IF(AND(W78&lt;&gt;"",X78&gt;W78),"Pago com atraso","Pago"),IF(W78="","Sem vencimento",IF(TODAY()&gt;W78,"Em atraso","A vencer"))))))</f>
        <v/>
      </c>
      <c r="Z78" s="43" t="str">
        <f aca="true">IF(Y78="Em atraso",TODAY()-W78,"")</f>
        <v/>
      </c>
      <c r="AA78" s="42" t="str">
        <f aca="false">IF(Y78="Em atraso",COUNTIF($Y$5:Y78,"Em atraso"),"")</f>
        <v/>
      </c>
    </row>
    <row r="79" customFormat="false" ht="15" hidden="false" customHeight="false" outlineLevel="0" collapsed="false">
      <c r="A79" s="36"/>
      <c r="B79" s="36"/>
      <c r="C79" s="36"/>
      <c r="D79" s="36"/>
      <c r="E79" s="36"/>
      <c r="F79" s="37"/>
      <c r="G79" s="36"/>
      <c r="H79" s="38"/>
      <c r="I79" s="36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40" t="n">
        <f aca="false">IF(A79="",0,IF(AND(I79="Ativo",OR(H79="",H79&lt;=EOMONTH(DATE(Painel!$C$4,Painel!$C$6,1),0))),F79,0))</f>
        <v>0</v>
      </c>
      <c r="W79" s="41" t="str">
        <f aca="false">IF(OR(V79=0,G79=""),"",DATE(Painel!$C$4,Painel!$C$6,MIN(G79,DAY(EOMONTH(DATE(Painel!$C$4,Painel!$C$6,1),0)))))</f>
        <v/>
      </c>
      <c r="X79" s="41" t="str">
        <f aca="false">IF(A79="","",IF(INDEX(J79:U79,Painel!$C$6)="","",INDEX(J79:U79,Painel!$C$6)))</f>
        <v/>
      </c>
      <c r="Y79" s="42" t="str">
        <f aca="true">IF(A79="","",IF(I79&lt;&gt;"Ativo","Inativo",IF(V79=0,"Sem cobrança",IF(X79&lt;&gt;"",IF(AND(W79&lt;&gt;"",X79&gt;W79),"Pago com atraso","Pago"),IF(W79="","Sem vencimento",IF(TODAY()&gt;W79,"Em atraso","A vencer"))))))</f>
        <v/>
      </c>
      <c r="Z79" s="43" t="str">
        <f aca="true">IF(Y79="Em atraso",TODAY()-W79,"")</f>
        <v/>
      </c>
      <c r="AA79" s="42" t="str">
        <f aca="false">IF(Y79="Em atraso",COUNTIF($Y$5:Y79,"Em atraso"),"")</f>
        <v/>
      </c>
    </row>
    <row r="80" customFormat="false" ht="15" hidden="false" customHeight="false" outlineLevel="0" collapsed="false">
      <c r="A80" s="36"/>
      <c r="B80" s="36"/>
      <c r="C80" s="36"/>
      <c r="D80" s="36"/>
      <c r="E80" s="36"/>
      <c r="F80" s="37"/>
      <c r="G80" s="36"/>
      <c r="H80" s="38"/>
      <c r="I80" s="36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40" t="n">
        <f aca="false">IF(A80="",0,IF(AND(I80="Ativo",OR(H80="",H80&lt;=EOMONTH(DATE(Painel!$C$4,Painel!$C$6,1),0))),F80,0))</f>
        <v>0</v>
      </c>
      <c r="W80" s="41" t="str">
        <f aca="false">IF(OR(V80=0,G80=""),"",DATE(Painel!$C$4,Painel!$C$6,MIN(G80,DAY(EOMONTH(DATE(Painel!$C$4,Painel!$C$6,1),0)))))</f>
        <v/>
      </c>
      <c r="X80" s="41" t="str">
        <f aca="false">IF(A80="","",IF(INDEX(J80:U80,Painel!$C$6)="","",INDEX(J80:U80,Painel!$C$6)))</f>
        <v/>
      </c>
      <c r="Y80" s="42" t="str">
        <f aca="true">IF(A80="","",IF(I80&lt;&gt;"Ativo","Inativo",IF(V80=0,"Sem cobrança",IF(X80&lt;&gt;"",IF(AND(W80&lt;&gt;"",X80&gt;W80),"Pago com atraso","Pago"),IF(W80="","Sem vencimento",IF(TODAY()&gt;W80,"Em atraso","A vencer"))))))</f>
        <v/>
      </c>
      <c r="Z80" s="43" t="str">
        <f aca="true">IF(Y80="Em atraso",TODAY()-W80,"")</f>
        <v/>
      </c>
      <c r="AA80" s="42" t="str">
        <f aca="false">IF(Y80="Em atraso",COUNTIF($Y$5:Y80,"Em atraso"),"")</f>
        <v/>
      </c>
    </row>
    <row r="81" customFormat="false" ht="15" hidden="false" customHeight="false" outlineLevel="0" collapsed="false">
      <c r="A81" s="36"/>
      <c r="B81" s="36"/>
      <c r="C81" s="36"/>
      <c r="D81" s="36"/>
      <c r="E81" s="36"/>
      <c r="F81" s="37"/>
      <c r="G81" s="36"/>
      <c r="H81" s="38"/>
      <c r="I81" s="36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0" t="n">
        <f aca="false">IF(A81="",0,IF(AND(I81="Ativo",OR(H81="",H81&lt;=EOMONTH(DATE(Painel!$C$4,Painel!$C$6,1),0))),F81,0))</f>
        <v>0</v>
      </c>
      <c r="W81" s="41" t="str">
        <f aca="false">IF(OR(V81=0,G81=""),"",DATE(Painel!$C$4,Painel!$C$6,MIN(G81,DAY(EOMONTH(DATE(Painel!$C$4,Painel!$C$6,1),0)))))</f>
        <v/>
      </c>
      <c r="X81" s="41" t="str">
        <f aca="false">IF(A81="","",IF(INDEX(J81:U81,Painel!$C$6)="","",INDEX(J81:U81,Painel!$C$6)))</f>
        <v/>
      </c>
      <c r="Y81" s="42" t="str">
        <f aca="true">IF(A81="","",IF(I81&lt;&gt;"Ativo","Inativo",IF(V81=0,"Sem cobrança",IF(X81&lt;&gt;"",IF(AND(W81&lt;&gt;"",X81&gt;W81),"Pago com atraso","Pago"),IF(W81="","Sem vencimento",IF(TODAY()&gt;W81,"Em atraso","A vencer"))))))</f>
        <v/>
      </c>
      <c r="Z81" s="43" t="str">
        <f aca="true">IF(Y81="Em atraso",TODAY()-W81,"")</f>
        <v/>
      </c>
      <c r="AA81" s="42" t="str">
        <f aca="false">IF(Y81="Em atraso",COUNTIF($Y$5:Y81,"Em atraso"),"")</f>
        <v/>
      </c>
    </row>
    <row r="82" customFormat="false" ht="15" hidden="false" customHeight="false" outlineLevel="0" collapsed="false">
      <c r="A82" s="36"/>
      <c r="B82" s="36"/>
      <c r="C82" s="36"/>
      <c r="D82" s="36"/>
      <c r="E82" s="36"/>
      <c r="F82" s="37"/>
      <c r="G82" s="36"/>
      <c r="H82" s="38"/>
      <c r="I82" s="36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 t="n">
        <f aca="false">IF(A82="",0,IF(AND(I82="Ativo",OR(H82="",H82&lt;=EOMONTH(DATE(Painel!$C$4,Painel!$C$6,1),0))),F82,0))</f>
        <v>0</v>
      </c>
      <c r="W82" s="41" t="str">
        <f aca="false">IF(OR(V82=0,G82=""),"",DATE(Painel!$C$4,Painel!$C$6,MIN(G82,DAY(EOMONTH(DATE(Painel!$C$4,Painel!$C$6,1),0)))))</f>
        <v/>
      </c>
      <c r="X82" s="41" t="str">
        <f aca="false">IF(A82="","",IF(INDEX(J82:U82,Painel!$C$6)="","",INDEX(J82:U82,Painel!$C$6)))</f>
        <v/>
      </c>
      <c r="Y82" s="42" t="str">
        <f aca="true">IF(A82="","",IF(I82&lt;&gt;"Ativo","Inativo",IF(V82=0,"Sem cobrança",IF(X82&lt;&gt;"",IF(AND(W82&lt;&gt;"",X82&gt;W82),"Pago com atraso","Pago"),IF(W82="","Sem vencimento",IF(TODAY()&gt;W82,"Em atraso","A vencer"))))))</f>
        <v/>
      </c>
      <c r="Z82" s="43" t="str">
        <f aca="true">IF(Y82="Em atraso",TODAY()-W82,"")</f>
        <v/>
      </c>
      <c r="AA82" s="42" t="str">
        <f aca="false">IF(Y82="Em atraso",COUNTIF($Y$5:Y82,"Em atraso"),"")</f>
        <v/>
      </c>
    </row>
    <row r="83" customFormat="false" ht="15" hidden="false" customHeight="false" outlineLevel="0" collapsed="false">
      <c r="A83" s="36"/>
      <c r="B83" s="36"/>
      <c r="C83" s="36"/>
      <c r="D83" s="36"/>
      <c r="E83" s="36"/>
      <c r="F83" s="37"/>
      <c r="G83" s="36"/>
      <c r="H83" s="38"/>
      <c r="I83" s="36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40" t="n">
        <f aca="false">IF(A83="",0,IF(AND(I83="Ativo",OR(H83="",H83&lt;=EOMONTH(DATE(Painel!$C$4,Painel!$C$6,1),0))),F83,0))</f>
        <v>0</v>
      </c>
      <c r="W83" s="41" t="str">
        <f aca="false">IF(OR(V83=0,G83=""),"",DATE(Painel!$C$4,Painel!$C$6,MIN(G83,DAY(EOMONTH(DATE(Painel!$C$4,Painel!$C$6,1),0)))))</f>
        <v/>
      </c>
      <c r="X83" s="41" t="str">
        <f aca="false">IF(A83="","",IF(INDEX(J83:U83,Painel!$C$6)="","",INDEX(J83:U83,Painel!$C$6)))</f>
        <v/>
      </c>
      <c r="Y83" s="42" t="str">
        <f aca="true">IF(A83="","",IF(I83&lt;&gt;"Ativo","Inativo",IF(V83=0,"Sem cobrança",IF(X83&lt;&gt;"",IF(AND(W83&lt;&gt;"",X83&gt;W83),"Pago com atraso","Pago"),IF(W83="","Sem vencimento",IF(TODAY()&gt;W83,"Em atraso","A vencer"))))))</f>
        <v/>
      </c>
      <c r="Z83" s="43" t="str">
        <f aca="true">IF(Y83="Em atraso",TODAY()-W83,"")</f>
        <v/>
      </c>
      <c r="AA83" s="42" t="str">
        <f aca="false">IF(Y83="Em atraso",COUNTIF($Y$5:Y83,"Em atraso"),"")</f>
        <v/>
      </c>
    </row>
    <row r="84" customFormat="false" ht="15" hidden="false" customHeight="false" outlineLevel="0" collapsed="false">
      <c r="A84" s="36"/>
      <c r="B84" s="36"/>
      <c r="C84" s="36"/>
      <c r="D84" s="36"/>
      <c r="E84" s="36"/>
      <c r="F84" s="37"/>
      <c r="G84" s="36"/>
      <c r="H84" s="38"/>
      <c r="I84" s="36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40" t="n">
        <f aca="false">IF(A84="",0,IF(AND(I84="Ativo",OR(H84="",H84&lt;=EOMONTH(DATE(Painel!$C$4,Painel!$C$6,1),0))),F84,0))</f>
        <v>0</v>
      </c>
      <c r="W84" s="41" t="str">
        <f aca="false">IF(OR(V84=0,G84=""),"",DATE(Painel!$C$4,Painel!$C$6,MIN(G84,DAY(EOMONTH(DATE(Painel!$C$4,Painel!$C$6,1),0)))))</f>
        <v/>
      </c>
      <c r="X84" s="41" t="str">
        <f aca="false">IF(A84="","",IF(INDEX(J84:U84,Painel!$C$6)="","",INDEX(J84:U84,Painel!$C$6)))</f>
        <v/>
      </c>
      <c r="Y84" s="42" t="str">
        <f aca="true">IF(A84="","",IF(I84&lt;&gt;"Ativo","Inativo",IF(V84=0,"Sem cobrança",IF(X84&lt;&gt;"",IF(AND(W84&lt;&gt;"",X84&gt;W84),"Pago com atraso","Pago"),IF(W84="","Sem vencimento",IF(TODAY()&gt;W84,"Em atraso","A vencer"))))))</f>
        <v/>
      </c>
      <c r="Z84" s="43" t="str">
        <f aca="true">IF(Y84="Em atraso",TODAY()-W84,"")</f>
        <v/>
      </c>
      <c r="AA84" s="42" t="str">
        <f aca="false">IF(Y84="Em atraso",COUNTIF($Y$5:Y84,"Em atraso"),"")</f>
        <v/>
      </c>
    </row>
    <row r="85" customFormat="false" ht="15" hidden="false" customHeight="false" outlineLevel="0" collapsed="false">
      <c r="A85" s="36"/>
      <c r="B85" s="36"/>
      <c r="C85" s="36"/>
      <c r="D85" s="36"/>
      <c r="E85" s="36"/>
      <c r="F85" s="37"/>
      <c r="G85" s="36"/>
      <c r="H85" s="38"/>
      <c r="I85" s="36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40" t="n">
        <f aca="false">IF(A85="",0,IF(AND(I85="Ativo",OR(H85="",H85&lt;=EOMONTH(DATE(Painel!$C$4,Painel!$C$6,1),0))),F85,0))</f>
        <v>0</v>
      </c>
      <c r="W85" s="41" t="str">
        <f aca="false">IF(OR(V85=0,G85=""),"",DATE(Painel!$C$4,Painel!$C$6,MIN(G85,DAY(EOMONTH(DATE(Painel!$C$4,Painel!$C$6,1),0)))))</f>
        <v/>
      </c>
      <c r="X85" s="41" t="str">
        <f aca="false">IF(A85="","",IF(INDEX(J85:U85,Painel!$C$6)="","",INDEX(J85:U85,Painel!$C$6)))</f>
        <v/>
      </c>
      <c r="Y85" s="42" t="str">
        <f aca="true">IF(A85="","",IF(I85&lt;&gt;"Ativo","Inativo",IF(V85=0,"Sem cobrança",IF(X85&lt;&gt;"",IF(AND(W85&lt;&gt;"",X85&gt;W85),"Pago com atraso","Pago"),IF(W85="","Sem vencimento",IF(TODAY()&gt;W85,"Em atraso","A vencer"))))))</f>
        <v/>
      </c>
      <c r="Z85" s="43" t="str">
        <f aca="true">IF(Y85="Em atraso",TODAY()-W85,"")</f>
        <v/>
      </c>
      <c r="AA85" s="42" t="str">
        <f aca="false">IF(Y85="Em atraso",COUNTIF($Y$5:Y85,"Em atraso"),"")</f>
        <v/>
      </c>
    </row>
    <row r="86" customFormat="false" ht="15" hidden="false" customHeight="false" outlineLevel="0" collapsed="false">
      <c r="A86" s="36"/>
      <c r="B86" s="36"/>
      <c r="C86" s="36"/>
      <c r="D86" s="36"/>
      <c r="E86" s="36"/>
      <c r="F86" s="37"/>
      <c r="G86" s="36"/>
      <c r="H86" s="38"/>
      <c r="I86" s="36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0" t="n">
        <f aca="false">IF(A86="",0,IF(AND(I86="Ativo",OR(H86="",H86&lt;=EOMONTH(DATE(Painel!$C$4,Painel!$C$6,1),0))),F86,0))</f>
        <v>0</v>
      </c>
      <c r="W86" s="41" t="str">
        <f aca="false">IF(OR(V86=0,G86=""),"",DATE(Painel!$C$4,Painel!$C$6,MIN(G86,DAY(EOMONTH(DATE(Painel!$C$4,Painel!$C$6,1),0)))))</f>
        <v/>
      </c>
      <c r="X86" s="41" t="str">
        <f aca="false">IF(A86="","",IF(INDEX(J86:U86,Painel!$C$6)="","",INDEX(J86:U86,Painel!$C$6)))</f>
        <v/>
      </c>
      <c r="Y86" s="42" t="str">
        <f aca="true">IF(A86="","",IF(I86&lt;&gt;"Ativo","Inativo",IF(V86=0,"Sem cobrança",IF(X86&lt;&gt;"",IF(AND(W86&lt;&gt;"",X86&gt;W86),"Pago com atraso","Pago"),IF(W86="","Sem vencimento",IF(TODAY()&gt;W86,"Em atraso","A vencer"))))))</f>
        <v/>
      </c>
      <c r="Z86" s="43" t="str">
        <f aca="true">IF(Y86="Em atraso",TODAY()-W86,"")</f>
        <v/>
      </c>
      <c r="AA86" s="42" t="str">
        <f aca="false">IF(Y86="Em atraso",COUNTIF($Y$5:Y86,"Em atraso"),"")</f>
        <v/>
      </c>
    </row>
    <row r="87" customFormat="false" ht="15" hidden="false" customHeight="false" outlineLevel="0" collapsed="false">
      <c r="A87" s="36"/>
      <c r="B87" s="36"/>
      <c r="C87" s="36"/>
      <c r="D87" s="36"/>
      <c r="E87" s="36"/>
      <c r="F87" s="37"/>
      <c r="G87" s="36"/>
      <c r="H87" s="38"/>
      <c r="I87" s="36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 t="n">
        <f aca="false">IF(A87="",0,IF(AND(I87="Ativo",OR(H87="",H87&lt;=EOMONTH(DATE(Painel!$C$4,Painel!$C$6,1),0))),F87,0))</f>
        <v>0</v>
      </c>
      <c r="W87" s="41" t="str">
        <f aca="false">IF(OR(V87=0,G87=""),"",DATE(Painel!$C$4,Painel!$C$6,MIN(G87,DAY(EOMONTH(DATE(Painel!$C$4,Painel!$C$6,1),0)))))</f>
        <v/>
      </c>
      <c r="X87" s="41" t="str">
        <f aca="false">IF(A87="","",IF(INDEX(J87:U87,Painel!$C$6)="","",INDEX(J87:U87,Painel!$C$6)))</f>
        <v/>
      </c>
      <c r="Y87" s="42" t="str">
        <f aca="true">IF(A87="","",IF(I87&lt;&gt;"Ativo","Inativo",IF(V87=0,"Sem cobrança",IF(X87&lt;&gt;"",IF(AND(W87&lt;&gt;"",X87&gt;W87),"Pago com atraso","Pago"),IF(W87="","Sem vencimento",IF(TODAY()&gt;W87,"Em atraso","A vencer"))))))</f>
        <v/>
      </c>
      <c r="Z87" s="43" t="str">
        <f aca="true">IF(Y87="Em atraso",TODAY()-W87,"")</f>
        <v/>
      </c>
      <c r="AA87" s="42" t="str">
        <f aca="false">IF(Y87="Em atraso",COUNTIF($Y$5:Y87,"Em atraso"),"")</f>
        <v/>
      </c>
    </row>
    <row r="88" customFormat="false" ht="15" hidden="false" customHeight="false" outlineLevel="0" collapsed="false">
      <c r="A88" s="36"/>
      <c r="B88" s="36"/>
      <c r="C88" s="36"/>
      <c r="D88" s="36"/>
      <c r="E88" s="36"/>
      <c r="F88" s="37"/>
      <c r="G88" s="36"/>
      <c r="H88" s="38"/>
      <c r="I88" s="36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40" t="n">
        <f aca="false">IF(A88="",0,IF(AND(I88="Ativo",OR(H88="",H88&lt;=EOMONTH(DATE(Painel!$C$4,Painel!$C$6,1),0))),F88,0))</f>
        <v>0</v>
      </c>
      <c r="W88" s="41" t="str">
        <f aca="false">IF(OR(V88=0,G88=""),"",DATE(Painel!$C$4,Painel!$C$6,MIN(G88,DAY(EOMONTH(DATE(Painel!$C$4,Painel!$C$6,1),0)))))</f>
        <v/>
      </c>
      <c r="X88" s="41" t="str">
        <f aca="false">IF(A88="","",IF(INDEX(J88:U88,Painel!$C$6)="","",INDEX(J88:U88,Painel!$C$6)))</f>
        <v/>
      </c>
      <c r="Y88" s="42" t="str">
        <f aca="true">IF(A88="","",IF(I88&lt;&gt;"Ativo","Inativo",IF(V88=0,"Sem cobrança",IF(X88&lt;&gt;"",IF(AND(W88&lt;&gt;"",X88&gt;W88),"Pago com atraso","Pago"),IF(W88="","Sem vencimento",IF(TODAY()&gt;W88,"Em atraso","A vencer"))))))</f>
        <v/>
      </c>
      <c r="Z88" s="43" t="str">
        <f aca="true">IF(Y88="Em atraso",TODAY()-W88,"")</f>
        <v/>
      </c>
      <c r="AA88" s="42" t="str">
        <f aca="false">IF(Y88="Em atraso",COUNTIF($Y$5:Y88,"Em atraso"),"")</f>
        <v/>
      </c>
    </row>
    <row r="89" customFormat="false" ht="15" hidden="false" customHeight="false" outlineLevel="0" collapsed="false">
      <c r="A89" s="36"/>
      <c r="B89" s="36"/>
      <c r="C89" s="36"/>
      <c r="D89" s="36"/>
      <c r="E89" s="36"/>
      <c r="F89" s="37"/>
      <c r="G89" s="36"/>
      <c r="H89" s="38"/>
      <c r="I89" s="36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40" t="n">
        <f aca="false">IF(A89="",0,IF(AND(I89="Ativo",OR(H89="",H89&lt;=EOMONTH(DATE(Painel!$C$4,Painel!$C$6,1),0))),F89,0))</f>
        <v>0</v>
      </c>
      <c r="W89" s="41" t="str">
        <f aca="false">IF(OR(V89=0,G89=""),"",DATE(Painel!$C$4,Painel!$C$6,MIN(G89,DAY(EOMONTH(DATE(Painel!$C$4,Painel!$C$6,1),0)))))</f>
        <v/>
      </c>
      <c r="X89" s="41" t="str">
        <f aca="false">IF(A89="","",IF(INDEX(J89:U89,Painel!$C$6)="","",INDEX(J89:U89,Painel!$C$6)))</f>
        <v/>
      </c>
      <c r="Y89" s="42" t="str">
        <f aca="true">IF(A89="","",IF(I89&lt;&gt;"Ativo","Inativo",IF(V89=0,"Sem cobrança",IF(X89&lt;&gt;"",IF(AND(W89&lt;&gt;"",X89&gt;W89),"Pago com atraso","Pago"),IF(W89="","Sem vencimento",IF(TODAY()&gt;W89,"Em atraso","A vencer"))))))</f>
        <v/>
      </c>
      <c r="Z89" s="43" t="str">
        <f aca="true">IF(Y89="Em atraso",TODAY()-W89,"")</f>
        <v/>
      </c>
      <c r="AA89" s="42" t="str">
        <f aca="false">IF(Y89="Em atraso",COUNTIF($Y$5:Y89,"Em atraso"),"")</f>
        <v/>
      </c>
    </row>
    <row r="90" customFormat="false" ht="15" hidden="false" customHeight="false" outlineLevel="0" collapsed="false">
      <c r="A90" s="36"/>
      <c r="B90" s="36"/>
      <c r="C90" s="36"/>
      <c r="D90" s="36"/>
      <c r="E90" s="36"/>
      <c r="F90" s="37"/>
      <c r="G90" s="36"/>
      <c r="H90" s="38"/>
      <c r="I90" s="36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40" t="n">
        <f aca="false">IF(A90="",0,IF(AND(I90="Ativo",OR(H90="",H90&lt;=EOMONTH(DATE(Painel!$C$4,Painel!$C$6,1),0))),F90,0))</f>
        <v>0</v>
      </c>
      <c r="W90" s="41" t="str">
        <f aca="false">IF(OR(V90=0,G90=""),"",DATE(Painel!$C$4,Painel!$C$6,MIN(G90,DAY(EOMONTH(DATE(Painel!$C$4,Painel!$C$6,1),0)))))</f>
        <v/>
      </c>
      <c r="X90" s="41" t="str">
        <f aca="false">IF(A90="","",IF(INDEX(J90:U90,Painel!$C$6)="","",INDEX(J90:U90,Painel!$C$6)))</f>
        <v/>
      </c>
      <c r="Y90" s="42" t="str">
        <f aca="true">IF(A90="","",IF(I90&lt;&gt;"Ativo","Inativo",IF(V90=0,"Sem cobrança",IF(X90&lt;&gt;"",IF(AND(W90&lt;&gt;"",X90&gt;W90),"Pago com atraso","Pago"),IF(W90="","Sem vencimento",IF(TODAY()&gt;W90,"Em atraso","A vencer"))))))</f>
        <v/>
      </c>
      <c r="Z90" s="43" t="str">
        <f aca="true">IF(Y90="Em atraso",TODAY()-W90,"")</f>
        <v/>
      </c>
      <c r="AA90" s="42" t="str">
        <f aca="false">IF(Y90="Em atraso",COUNTIF($Y$5:Y90,"Em atraso"),"")</f>
        <v/>
      </c>
    </row>
    <row r="91" customFormat="false" ht="15" hidden="false" customHeight="false" outlineLevel="0" collapsed="false">
      <c r="A91" s="36"/>
      <c r="B91" s="36"/>
      <c r="C91" s="36"/>
      <c r="D91" s="36"/>
      <c r="E91" s="36"/>
      <c r="F91" s="37"/>
      <c r="G91" s="36"/>
      <c r="H91" s="38"/>
      <c r="I91" s="36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40" t="n">
        <f aca="false">IF(A91="",0,IF(AND(I91="Ativo",OR(H91="",H91&lt;=EOMONTH(DATE(Painel!$C$4,Painel!$C$6,1),0))),F91,0))</f>
        <v>0</v>
      </c>
      <c r="W91" s="41" t="str">
        <f aca="false">IF(OR(V91=0,G91=""),"",DATE(Painel!$C$4,Painel!$C$6,MIN(G91,DAY(EOMONTH(DATE(Painel!$C$4,Painel!$C$6,1),0)))))</f>
        <v/>
      </c>
      <c r="X91" s="41" t="str">
        <f aca="false">IF(A91="","",IF(INDEX(J91:U91,Painel!$C$6)="","",INDEX(J91:U91,Painel!$C$6)))</f>
        <v/>
      </c>
      <c r="Y91" s="42" t="str">
        <f aca="true">IF(A91="","",IF(I91&lt;&gt;"Ativo","Inativo",IF(V91=0,"Sem cobrança",IF(X91&lt;&gt;"",IF(AND(W91&lt;&gt;"",X91&gt;W91),"Pago com atraso","Pago"),IF(W91="","Sem vencimento",IF(TODAY()&gt;W91,"Em atraso","A vencer"))))))</f>
        <v/>
      </c>
      <c r="Z91" s="43" t="str">
        <f aca="true">IF(Y91="Em atraso",TODAY()-W91,"")</f>
        <v/>
      </c>
      <c r="AA91" s="42" t="str">
        <f aca="false">IF(Y91="Em atraso",COUNTIF($Y$5:Y91,"Em atraso"),"")</f>
        <v/>
      </c>
    </row>
    <row r="92" customFormat="false" ht="15" hidden="false" customHeight="false" outlineLevel="0" collapsed="false">
      <c r="A92" s="36"/>
      <c r="B92" s="36"/>
      <c r="C92" s="36"/>
      <c r="D92" s="36"/>
      <c r="E92" s="36"/>
      <c r="F92" s="37"/>
      <c r="G92" s="36"/>
      <c r="H92" s="38"/>
      <c r="I92" s="36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 t="n">
        <f aca="false">IF(A92="",0,IF(AND(I92="Ativo",OR(H92="",H92&lt;=EOMONTH(DATE(Painel!$C$4,Painel!$C$6,1),0))),F92,0))</f>
        <v>0</v>
      </c>
      <c r="W92" s="41" t="str">
        <f aca="false">IF(OR(V92=0,G92=""),"",DATE(Painel!$C$4,Painel!$C$6,MIN(G92,DAY(EOMONTH(DATE(Painel!$C$4,Painel!$C$6,1),0)))))</f>
        <v/>
      </c>
      <c r="X92" s="41" t="str">
        <f aca="false">IF(A92="","",IF(INDEX(J92:U92,Painel!$C$6)="","",INDEX(J92:U92,Painel!$C$6)))</f>
        <v/>
      </c>
      <c r="Y92" s="42" t="str">
        <f aca="true">IF(A92="","",IF(I92&lt;&gt;"Ativo","Inativo",IF(V92=0,"Sem cobrança",IF(X92&lt;&gt;"",IF(AND(W92&lt;&gt;"",X92&gt;W92),"Pago com atraso","Pago"),IF(W92="","Sem vencimento",IF(TODAY()&gt;W92,"Em atraso","A vencer"))))))</f>
        <v/>
      </c>
      <c r="Z92" s="43" t="str">
        <f aca="true">IF(Y92="Em atraso",TODAY()-W92,"")</f>
        <v/>
      </c>
      <c r="AA92" s="42" t="str">
        <f aca="false">IF(Y92="Em atraso",COUNTIF($Y$5:Y92,"Em atraso"),"")</f>
        <v/>
      </c>
    </row>
    <row r="93" customFormat="false" ht="15" hidden="false" customHeight="false" outlineLevel="0" collapsed="false">
      <c r="A93" s="36"/>
      <c r="B93" s="36"/>
      <c r="C93" s="36"/>
      <c r="D93" s="36"/>
      <c r="E93" s="36"/>
      <c r="F93" s="37"/>
      <c r="G93" s="36"/>
      <c r="H93" s="38"/>
      <c r="I93" s="36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40" t="n">
        <f aca="false">IF(A93="",0,IF(AND(I93="Ativo",OR(H93="",H93&lt;=EOMONTH(DATE(Painel!$C$4,Painel!$C$6,1),0))),F93,0))</f>
        <v>0</v>
      </c>
      <c r="W93" s="41" t="str">
        <f aca="false">IF(OR(V93=0,G93=""),"",DATE(Painel!$C$4,Painel!$C$6,MIN(G93,DAY(EOMONTH(DATE(Painel!$C$4,Painel!$C$6,1),0)))))</f>
        <v/>
      </c>
      <c r="X93" s="41" t="str">
        <f aca="false">IF(A93="","",IF(INDEX(J93:U93,Painel!$C$6)="","",INDEX(J93:U93,Painel!$C$6)))</f>
        <v/>
      </c>
      <c r="Y93" s="42" t="str">
        <f aca="true">IF(A93="","",IF(I93&lt;&gt;"Ativo","Inativo",IF(V93=0,"Sem cobrança",IF(X93&lt;&gt;"",IF(AND(W93&lt;&gt;"",X93&gt;W93),"Pago com atraso","Pago"),IF(W93="","Sem vencimento",IF(TODAY()&gt;W93,"Em atraso","A vencer"))))))</f>
        <v/>
      </c>
      <c r="Z93" s="43" t="str">
        <f aca="true">IF(Y93="Em atraso",TODAY()-W93,"")</f>
        <v/>
      </c>
      <c r="AA93" s="42" t="str">
        <f aca="false">IF(Y93="Em atraso",COUNTIF($Y$5:Y93,"Em atraso"),"")</f>
        <v/>
      </c>
    </row>
    <row r="94" customFormat="false" ht="15" hidden="false" customHeight="false" outlineLevel="0" collapsed="false">
      <c r="A94" s="36"/>
      <c r="B94" s="36"/>
      <c r="C94" s="36"/>
      <c r="D94" s="36"/>
      <c r="E94" s="36"/>
      <c r="F94" s="37"/>
      <c r="G94" s="36"/>
      <c r="H94" s="38"/>
      <c r="I94" s="36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0" t="n">
        <f aca="false">IF(A94="",0,IF(AND(I94="Ativo",OR(H94="",H94&lt;=EOMONTH(DATE(Painel!$C$4,Painel!$C$6,1),0))),F94,0))</f>
        <v>0</v>
      </c>
      <c r="W94" s="41" t="str">
        <f aca="false">IF(OR(V94=0,G94=""),"",DATE(Painel!$C$4,Painel!$C$6,MIN(G94,DAY(EOMONTH(DATE(Painel!$C$4,Painel!$C$6,1),0)))))</f>
        <v/>
      </c>
      <c r="X94" s="41" t="str">
        <f aca="false">IF(A94="","",IF(INDEX(J94:U94,Painel!$C$6)="","",INDEX(J94:U94,Painel!$C$6)))</f>
        <v/>
      </c>
      <c r="Y94" s="42" t="str">
        <f aca="true">IF(A94="","",IF(I94&lt;&gt;"Ativo","Inativo",IF(V94=0,"Sem cobrança",IF(X94&lt;&gt;"",IF(AND(W94&lt;&gt;"",X94&gt;W94),"Pago com atraso","Pago"),IF(W94="","Sem vencimento",IF(TODAY()&gt;W94,"Em atraso","A vencer"))))))</f>
        <v/>
      </c>
      <c r="Z94" s="43" t="str">
        <f aca="true">IF(Y94="Em atraso",TODAY()-W94,"")</f>
        <v/>
      </c>
      <c r="AA94" s="42" t="str">
        <f aca="false">IF(Y94="Em atraso",COUNTIF($Y$5:Y94,"Em atraso"),"")</f>
        <v/>
      </c>
    </row>
    <row r="95" customFormat="false" ht="15" hidden="false" customHeight="false" outlineLevel="0" collapsed="false">
      <c r="A95" s="36"/>
      <c r="B95" s="36"/>
      <c r="C95" s="36"/>
      <c r="D95" s="36"/>
      <c r="E95" s="36"/>
      <c r="F95" s="37"/>
      <c r="G95" s="36"/>
      <c r="H95" s="38"/>
      <c r="I95" s="36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40" t="n">
        <f aca="false">IF(A95="",0,IF(AND(I95="Ativo",OR(H95="",H95&lt;=EOMONTH(DATE(Painel!$C$4,Painel!$C$6,1),0))),F95,0))</f>
        <v>0</v>
      </c>
      <c r="W95" s="41" t="str">
        <f aca="false">IF(OR(V95=0,G95=""),"",DATE(Painel!$C$4,Painel!$C$6,MIN(G95,DAY(EOMONTH(DATE(Painel!$C$4,Painel!$C$6,1),0)))))</f>
        <v/>
      </c>
      <c r="X95" s="41" t="str">
        <f aca="false">IF(A95="","",IF(INDEX(J95:U95,Painel!$C$6)="","",INDEX(J95:U95,Painel!$C$6)))</f>
        <v/>
      </c>
      <c r="Y95" s="42" t="str">
        <f aca="true">IF(A95="","",IF(I95&lt;&gt;"Ativo","Inativo",IF(V95=0,"Sem cobrança",IF(X95&lt;&gt;"",IF(AND(W95&lt;&gt;"",X95&gt;W95),"Pago com atraso","Pago"),IF(W95="","Sem vencimento",IF(TODAY()&gt;W95,"Em atraso","A vencer"))))))</f>
        <v/>
      </c>
      <c r="Z95" s="43" t="str">
        <f aca="true">IF(Y95="Em atraso",TODAY()-W95,"")</f>
        <v/>
      </c>
      <c r="AA95" s="42" t="str">
        <f aca="false">IF(Y95="Em atraso",COUNTIF($Y$5:Y95,"Em atraso"),"")</f>
        <v/>
      </c>
    </row>
    <row r="96" customFormat="false" ht="15" hidden="false" customHeight="false" outlineLevel="0" collapsed="false">
      <c r="A96" s="36"/>
      <c r="B96" s="36"/>
      <c r="C96" s="36"/>
      <c r="D96" s="36"/>
      <c r="E96" s="36"/>
      <c r="F96" s="37"/>
      <c r="G96" s="36"/>
      <c r="H96" s="38"/>
      <c r="I96" s="36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40" t="n">
        <f aca="false">IF(A96="",0,IF(AND(I96="Ativo",OR(H96="",H96&lt;=EOMONTH(DATE(Painel!$C$4,Painel!$C$6,1),0))),F96,0))</f>
        <v>0</v>
      </c>
      <c r="W96" s="41" t="str">
        <f aca="false">IF(OR(V96=0,G96=""),"",DATE(Painel!$C$4,Painel!$C$6,MIN(G96,DAY(EOMONTH(DATE(Painel!$C$4,Painel!$C$6,1),0)))))</f>
        <v/>
      </c>
      <c r="X96" s="41" t="str">
        <f aca="false">IF(A96="","",IF(INDEX(J96:U96,Painel!$C$6)="","",INDEX(J96:U96,Painel!$C$6)))</f>
        <v/>
      </c>
      <c r="Y96" s="42" t="str">
        <f aca="true">IF(A96="","",IF(I96&lt;&gt;"Ativo","Inativo",IF(V96=0,"Sem cobrança",IF(X96&lt;&gt;"",IF(AND(W96&lt;&gt;"",X96&gt;W96),"Pago com atraso","Pago"),IF(W96="","Sem vencimento",IF(TODAY()&gt;W96,"Em atraso","A vencer"))))))</f>
        <v/>
      </c>
      <c r="Z96" s="43" t="str">
        <f aca="true">IF(Y96="Em atraso",TODAY()-W96,"")</f>
        <v/>
      </c>
      <c r="AA96" s="42" t="str">
        <f aca="false">IF(Y96="Em atraso",COUNTIF($Y$5:Y96,"Em atraso"),"")</f>
        <v/>
      </c>
    </row>
    <row r="97" customFormat="false" ht="15" hidden="false" customHeight="false" outlineLevel="0" collapsed="false">
      <c r="A97" s="36"/>
      <c r="B97" s="36"/>
      <c r="C97" s="36"/>
      <c r="D97" s="36"/>
      <c r="E97" s="36"/>
      <c r="F97" s="37"/>
      <c r="G97" s="36"/>
      <c r="H97" s="38"/>
      <c r="I97" s="36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 t="n">
        <f aca="false">IF(A97="",0,IF(AND(I97="Ativo",OR(H97="",H97&lt;=EOMONTH(DATE(Painel!$C$4,Painel!$C$6,1),0))),F97,0))</f>
        <v>0</v>
      </c>
      <c r="W97" s="41" t="str">
        <f aca="false">IF(OR(V97=0,G97=""),"",DATE(Painel!$C$4,Painel!$C$6,MIN(G97,DAY(EOMONTH(DATE(Painel!$C$4,Painel!$C$6,1),0)))))</f>
        <v/>
      </c>
      <c r="X97" s="41" t="str">
        <f aca="false">IF(A97="","",IF(INDEX(J97:U97,Painel!$C$6)="","",INDEX(J97:U97,Painel!$C$6)))</f>
        <v/>
      </c>
      <c r="Y97" s="42" t="str">
        <f aca="true">IF(A97="","",IF(I97&lt;&gt;"Ativo","Inativo",IF(V97=0,"Sem cobrança",IF(X97&lt;&gt;"",IF(AND(W97&lt;&gt;"",X97&gt;W97),"Pago com atraso","Pago"),IF(W97="","Sem vencimento",IF(TODAY()&gt;W97,"Em atraso","A vencer"))))))</f>
        <v/>
      </c>
      <c r="Z97" s="43" t="str">
        <f aca="true">IF(Y97="Em atraso",TODAY()-W97,"")</f>
        <v/>
      </c>
      <c r="AA97" s="42" t="str">
        <f aca="false">IF(Y97="Em atraso",COUNTIF($Y$5:Y97,"Em atraso"),"")</f>
        <v/>
      </c>
    </row>
    <row r="98" customFormat="false" ht="15" hidden="false" customHeight="false" outlineLevel="0" collapsed="false">
      <c r="A98" s="36"/>
      <c r="B98" s="36"/>
      <c r="C98" s="36"/>
      <c r="D98" s="36"/>
      <c r="E98" s="36"/>
      <c r="F98" s="37"/>
      <c r="G98" s="36"/>
      <c r="H98" s="38"/>
      <c r="I98" s="36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40" t="n">
        <f aca="false">IF(A98="",0,IF(AND(I98="Ativo",OR(H98="",H98&lt;=EOMONTH(DATE(Painel!$C$4,Painel!$C$6,1),0))),F98,0))</f>
        <v>0</v>
      </c>
      <c r="W98" s="41" t="str">
        <f aca="false">IF(OR(V98=0,G98=""),"",DATE(Painel!$C$4,Painel!$C$6,MIN(G98,DAY(EOMONTH(DATE(Painel!$C$4,Painel!$C$6,1),0)))))</f>
        <v/>
      </c>
      <c r="X98" s="41" t="str">
        <f aca="false">IF(A98="","",IF(INDEX(J98:U98,Painel!$C$6)="","",INDEX(J98:U98,Painel!$C$6)))</f>
        <v/>
      </c>
      <c r="Y98" s="42" t="str">
        <f aca="true">IF(A98="","",IF(I98&lt;&gt;"Ativo","Inativo",IF(V98=0,"Sem cobrança",IF(X98&lt;&gt;"",IF(AND(W98&lt;&gt;"",X98&gt;W98),"Pago com atraso","Pago"),IF(W98="","Sem vencimento",IF(TODAY()&gt;W98,"Em atraso","A vencer"))))))</f>
        <v/>
      </c>
      <c r="Z98" s="43" t="str">
        <f aca="true">IF(Y98="Em atraso",TODAY()-W98,"")</f>
        <v/>
      </c>
      <c r="AA98" s="42" t="str">
        <f aca="false">IF(Y98="Em atraso",COUNTIF($Y$5:Y98,"Em atraso"),"")</f>
        <v/>
      </c>
    </row>
    <row r="99" customFormat="false" ht="15" hidden="false" customHeight="false" outlineLevel="0" collapsed="false">
      <c r="A99" s="36"/>
      <c r="B99" s="36"/>
      <c r="C99" s="36"/>
      <c r="D99" s="36"/>
      <c r="E99" s="36"/>
      <c r="F99" s="37"/>
      <c r="G99" s="36"/>
      <c r="H99" s="38"/>
      <c r="I99" s="36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40" t="n">
        <f aca="false">IF(A99="",0,IF(AND(I99="Ativo",OR(H99="",H99&lt;=EOMONTH(DATE(Painel!$C$4,Painel!$C$6,1),0))),F99,0))</f>
        <v>0</v>
      </c>
      <c r="W99" s="41" t="str">
        <f aca="false">IF(OR(V99=0,G99=""),"",DATE(Painel!$C$4,Painel!$C$6,MIN(G99,DAY(EOMONTH(DATE(Painel!$C$4,Painel!$C$6,1),0)))))</f>
        <v/>
      </c>
      <c r="X99" s="41" t="str">
        <f aca="false">IF(A99="","",IF(INDEX(J99:U99,Painel!$C$6)="","",INDEX(J99:U99,Painel!$C$6)))</f>
        <v/>
      </c>
      <c r="Y99" s="42" t="str">
        <f aca="true">IF(A99="","",IF(I99&lt;&gt;"Ativo","Inativo",IF(V99=0,"Sem cobrança",IF(X99&lt;&gt;"",IF(AND(W99&lt;&gt;"",X99&gt;W99),"Pago com atraso","Pago"),IF(W99="","Sem vencimento",IF(TODAY()&gt;W99,"Em atraso","A vencer"))))))</f>
        <v/>
      </c>
      <c r="Z99" s="43" t="str">
        <f aca="true">IF(Y99="Em atraso",TODAY()-W99,"")</f>
        <v/>
      </c>
      <c r="AA99" s="42" t="str">
        <f aca="false">IF(Y99="Em atraso",COUNTIF($Y$5:Y99,"Em atraso"),"")</f>
        <v/>
      </c>
    </row>
    <row r="100" customFormat="false" ht="15" hidden="false" customHeight="false" outlineLevel="0" collapsed="false">
      <c r="A100" s="36"/>
      <c r="B100" s="36"/>
      <c r="C100" s="36"/>
      <c r="D100" s="36"/>
      <c r="E100" s="36"/>
      <c r="F100" s="37"/>
      <c r="G100" s="36"/>
      <c r="H100" s="38"/>
      <c r="I100" s="36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40" t="n">
        <f aca="false">IF(A100="",0,IF(AND(I100="Ativo",OR(H100="",H100&lt;=EOMONTH(DATE(Painel!$C$4,Painel!$C$6,1),0))),F100,0))</f>
        <v>0</v>
      </c>
      <c r="W100" s="41" t="str">
        <f aca="false">IF(OR(V100=0,G100=""),"",DATE(Painel!$C$4,Painel!$C$6,MIN(G100,DAY(EOMONTH(DATE(Painel!$C$4,Painel!$C$6,1),0)))))</f>
        <v/>
      </c>
      <c r="X100" s="41" t="str">
        <f aca="false">IF(A100="","",IF(INDEX(J100:U100,Painel!$C$6)="","",INDEX(J100:U100,Painel!$C$6)))</f>
        <v/>
      </c>
      <c r="Y100" s="42" t="str">
        <f aca="true">IF(A100="","",IF(I100&lt;&gt;"Ativo","Inativo",IF(V100=0,"Sem cobrança",IF(X100&lt;&gt;"",IF(AND(W100&lt;&gt;"",X100&gt;W100),"Pago com atraso","Pago"),IF(W100="","Sem vencimento",IF(TODAY()&gt;W100,"Em atraso","A vencer"))))))</f>
        <v/>
      </c>
      <c r="Z100" s="43" t="str">
        <f aca="true">IF(Y100="Em atraso",TODAY()-W100,"")</f>
        <v/>
      </c>
      <c r="AA100" s="42" t="str">
        <f aca="false">IF(Y100="Em atraso",COUNTIF($Y$5:Y100,"Em atraso"),"")</f>
        <v/>
      </c>
    </row>
    <row r="101" customFormat="false" ht="15" hidden="false" customHeight="false" outlineLevel="0" collapsed="false">
      <c r="A101" s="36"/>
      <c r="B101" s="36"/>
      <c r="C101" s="36"/>
      <c r="D101" s="36"/>
      <c r="E101" s="36"/>
      <c r="F101" s="37"/>
      <c r="G101" s="36"/>
      <c r="H101" s="38"/>
      <c r="I101" s="36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40" t="n">
        <f aca="false">IF(A101="",0,IF(AND(I101="Ativo",OR(H101="",H101&lt;=EOMONTH(DATE(Painel!$C$4,Painel!$C$6,1),0))),F101,0))</f>
        <v>0</v>
      </c>
      <c r="W101" s="41" t="str">
        <f aca="false">IF(OR(V101=0,G101=""),"",DATE(Painel!$C$4,Painel!$C$6,MIN(G101,DAY(EOMONTH(DATE(Painel!$C$4,Painel!$C$6,1),0)))))</f>
        <v/>
      </c>
      <c r="X101" s="41" t="str">
        <f aca="false">IF(A101="","",IF(INDEX(J101:U101,Painel!$C$6)="","",INDEX(J101:U101,Painel!$C$6)))</f>
        <v/>
      </c>
      <c r="Y101" s="42" t="str">
        <f aca="true">IF(A101="","",IF(I101&lt;&gt;"Ativo","Inativo",IF(V101=0,"Sem cobrança",IF(X101&lt;&gt;"",IF(AND(W101&lt;&gt;"",X101&gt;W101),"Pago com atraso","Pago"),IF(W101="","Sem vencimento",IF(TODAY()&gt;W101,"Em atraso","A vencer"))))))</f>
        <v/>
      </c>
      <c r="Z101" s="43" t="str">
        <f aca="true">IF(Y101="Em atraso",TODAY()-W101,"")</f>
        <v/>
      </c>
      <c r="AA101" s="42" t="str">
        <f aca="false">IF(Y101="Em atraso",COUNTIF($Y$5:Y101,"Em atraso"),"")</f>
        <v/>
      </c>
    </row>
    <row r="102" customFormat="false" ht="15" hidden="false" customHeight="false" outlineLevel="0" collapsed="false">
      <c r="A102" s="36"/>
      <c r="B102" s="36"/>
      <c r="C102" s="36"/>
      <c r="D102" s="36"/>
      <c r="E102" s="36"/>
      <c r="F102" s="37"/>
      <c r="G102" s="36"/>
      <c r="H102" s="38"/>
      <c r="I102" s="36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0" t="n">
        <f aca="false">IF(A102="",0,IF(AND(I102="Ativo",OR(H102="",H102&lt;=EOMONTH(DATE(Painel!$C$4,Painel!$C$6,1),0))),F102,0))</f>
        <v>0</v>
      </c>
      <c r="W102" s="41" t="str">
        <f aca="false">IF(OR(V102=0,G102=""),"",DATE(Painel!$C$4,Painel!$C$6,MIN(G102,DAY(EOMONTH(DATE(Painel!$C$4,Painel!$C$6,1),0)))))</f>
        <v/>
      </c>
      <c r="X102" s="41" t="str">
        <f aca="false">IF(A102="","",IF(INDEX(J102:U102,Painel!$C$6)="","",INDEX(J102:U102,Painel!$C$6)))</f>
        <v/>
      </c>
      <c r="Y102" s="42" t="str">
        <f aca="true">IF(A102="","",IF(I102&lt;&gt;"Ativo","Inativo",IF(V102=0,"Sem cobrança",IF(X102&lt;&gt;"",IF(AND(W102&lt;&gt;"",X102&gt;W102),"Pago com atraso","Pago"),IF(W102="","Sem vencimento",IF(TODAY()&gt;W102,"Em atraso","A vencer"))))))</f>
        <v/>
      </c>
      <c r="Z102" s="43" t="str">
        <f aca="true">IF(Y102="Em atraso",TODAY()-W102,"")</f>
        <v/>
      </c>
      <c r="AA102" s="42" t="str">
        <f aca="false">IF(Y102="Em atraso",COUNTIF($Y$5:Y102,"Em atraso"),"")</f>
        <v/>
      </c>
    </row>
    <row r="103" customFormat="false" ht="15" hidden="false" customHeight="false" outlineLevel="0" collapsed="false">
      <c r="A103" s="36"/>
      <c r="B103" s="36"/>
      <c r="C103" s="36"/>
      <c r="D103" s="36"/>
      <c r="E103" s="36"/>
      <c r="F103" s="37"/>
      <c r="G103" s="36"/>
      <c r="H103" s="38"/>
      <c r="I103" s="36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40" t="n">
        <f aca="false">IF(A103="",0,IF(AND(I103="Ativo",OR(H103="",H103&lt;=EOMONTH(DATE(Painel!$C$4,Painel!$C$6,1),0))),F103,0))</f>
        <v>0</v>
      </c>
      <c r="W103" s="41" t="str">
        <f aca="false">IF(OR(V103=0,G103=""),"",DATE(Painel!$C$4,Painel!$C$6,MIN(G103,DAY(EOMONTH(DATE(Painel!$C$4,Painel!$C$6,1),0)))))</f>
        <v/>
      </c>
      <c r="X103" s="41" t="str">
        <f aca="false">IF(A103="","",IF(INDEX(J103:U103,Painel!$C$6)="","",INDEX(J103:U103,Painel!$C$6)))</f>
        <v/>
      </c>
      <c r="Y103" s="42" t="str">
        <f aca="true">IF(A103="","",IF(I103&lt;&gt;"Ativo","Inativo",IF(V103=0,"Sem cobrança",IF(X103&lt;&gt;"",IF(AND(W103&lt;&gt;"",X103&gt;W103),"Pago com atraso","Pago"),IF(W103="","Sem vencimento",IF(TODAY()&gt;W103,"Em atraso","A vencer"))))))</f>
        <v/>
      </c>
      <c r="Z103" s="43" t="str">
        <f aca="true">IF(Y103="Em atraso",TODAY()-W103,"")</f>
        <v/>
      </c>
      <c r="AA103" s="42" t="str">
        <f aca="false">IF(Y103="Em atraso",COUNTIF($Y$5:Y103,"Em atraso"),"")</f>
        <v/>
      </c>
    </row>
    <row r="104" customFormat="false" ht="15" hidden="false" customHeight="false" outlineLevel="0" collapsed="false">
      <c r="A104" s="36"/>
      <c r="B104" s="36"/>
      <c r="C104" s="36"/>
      <c r="D104" s="36"/>
      <c r="E104" s="36"/>
      <c r="F104" s="37"/>
      <c r="G104" s="36"/>
      <c r="H104" s="38"/>
      <c r="I104" s="36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40" t="n">
        <f aca="false">IF(A104="",0,IF(AND(I104="Ativo",OR(H104="",H104&lt;=EOMONTH(DATE(Painel!$C$4,Painel!$C$6,1),0))),F104,0))</f>
        <v>0</v>
      </c>
      <c r="W104" s="41" t="str">
        <f aca="false">IF(OR(V104=0,G104=""),"",DATE(Painel!$C$4,Painel!$C$6,MIN(G104,DAY(EOMONTH(DATE(Painel!$C$4,Painel!$C$6,1),0)))))</f>
        <v/>
      </c>
      <c r="X104" s="41" t="str">
        <f aca="false">IF(A104="","",IF(INDEX(J104:U104,Painel!$C$6)="","",INDEX(J104:U104,Painel!$C$6)))</f>
        <v/>
      </c>
      <c r="Y104" s="42" t="str">
        <f aca="true">IF(A104="","",IF(I104&lt;&gt;"Ativo","Inativo",IF(V104=0,"Sem cobrança",IF(X104&lt;&gt;"",IF(AND(W104&lt;&gt;"",X104&gt;W104),"Pago com atraso","Pago"),IF(W104="","Sem vencimento",IF(TODAY()&gt;W104,"Em atraso","A vencer"))))))</f>
        <v/>
      </c>
      <c r="Z104" s="43" t="str">
        <f aca="true">IF(Y104="Em atraso",TODAY()-W104,"")</f>
        <v/>
      </c>
      <c r="AA104" s="42" t="str">
        <f aca="false">IF(Y104="Em atraso",COUNTIF($Y$5:Y104,"Em atraso"),"")</f>
        <v/>
      </c>
    </row>
    <row r="105" customFormat="false" ht="15" hidden="false" customHeight="false" outlineLevel="0" collapsed="false">
      <c r="A105" s="36"/>
      <c r="B105" s="36"/>
      <c r="C105" s="36"/>
      <c r="D105" s="36"/>
      <c r="E105" s="36"/>
      <c r="F105" s="37"/>
      <c r="G105" s="36"/>
      <c r="H105" s="38"/>
      <c r="I105" s="36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40" t="n">
        <f aca="false">IF(A105="",0,IF(AND(I105="Ativo",OR(H105="",H105&lt;=EOMONTH(DATE(Painel!$C$4,Painel!$C$6,1),0))),F105,0))</f>
        <v>0</v>
      </c>
      <c r="W105" s="41" t="str">
        <f aca="false">IF(OR(V105=0,G105=""),"",DATE(Painel!$C$4,Painel!$C$6,MIN(G105,DAY(EOMONTH(DATE(Painel!$C$4,Painel!$C$6,1),0)))))</f>
        <v/>
      </c>
      <c r="X105" s="41" t="str">
        <f aca="false">IF(A105="","",IF(INDEX(J105:U105,Painel!$C$6)="","",INDEX(J105:U105,Painel!$C$6)))</f>
        <v/>
      </c>
      <c r="Y105" s="42" t="str">
        <f aca="true">IF(A105="","",IF(I105&lt;&gt;"Ativo","Inativo",IF(V105=0,"Sem cobrança",IF(X105&lt;&gt;"",IF(AND(W105&lt;&gt;"",X105&gt;W105),"Pago com atraso","Pago"),IF(W105="","Sem vencimento",IF(TODAY()&gt;W105,"Em atraso","A vencer"))))))</f>
        <v/>
      </c>
      <c r="Z105" s="43" t="str">
        <f aca="true">IF(Y105="Em atraso",TODAY()-W105,"")</f>
        <v/>
      </c>
      <c r="AA105" s="42" t="str">
        <f aca="false">IF(Y105="Em atraso",COUNTIF($Y$5:Y105,"Em atraso"),"")</f>
        <v/>
      </c>
    </row>
    <row r="106" customFormat="false" ht="15" hidden="false" customHeight="false" outlineLevel="0" collapsed="false">
      <c r="A106" s="36"/>
      <c r="B106" s="36"/>
      <c r="C106" s="36"/>
      <c r="D106" s="36"/>
      <c r="E106" s="36"/>
      <c r="F106" s="37"/>
      <c r="G106" s="36"/>
      <c r="H106" s="38"/>
      <c r="I106" s="36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40" t="n">
        <f aca="false">IF(A106="",0,IF(AND(I106="Ativo",OR(H106="",H106&lt;=EOMONTH(DATE(Painel!$C$4,Painel!$C$6,1),0))),F106,0))</f>
        <v>0</v>
      </c>
      <c r="W106" s="41" t="str">
        <f aca="false">IF(OR(V106=0,G106=""),"",DATE(Painel!$C$4,Painel!$C$6,MIN(G106,DAY(EOMONTH(DATE(Painel!$C$4,Painel!$C$6,1),0)))))</f>
        <v/>
      </c>
      <c r="X106" s="41" t="str">
        <f aca="false">IF(A106="","",IF(INDEX(J106:U106,Painel!$C$6)="","",INDEX(J106:U106,Painel!$C$6)))</f>
        <v/>
      </c>
      <c r="Y106" s="42" t="str">
        <f aca="true">IF(A106="","",IF(I106&lt;&gt;"Ativo","Inativo",IF(V106=0,"Sem cobrança",IF(X106&lt;&gt;"",IF(AND(W106&lt;&gt;"",X106&gt;W106),"Pago com atraso","Pago"),IF(W106="","Sem vencimento",IF(TODAY()&gt;W106,"Em atraso","A vencer"))))))</f>
        <v/>
      </c>
      <c r="Z106" s="43" t="str">
        <f aca="true">IF(Y106="Em atraso",TODAY()-W106,"")</f>
        <v/>
      </c>
      <c r="AA106" s="42" t="str">
        <f aca="false">IF(Y106="Em atraso",COUNTIF($Y$5:Y106,"Em atraso"),"")</f>
        <v/>
      </c>
    </row>
    <row r="107" customFormat="false" ht="15" hidden="false" customHeight="false" outlineLevel="0" collapsed="false">
      <c r="A107" s="36"/>
      <c r="B107" s="36"/>
      <c r="C107" s="36"/>
      <c r="D107" s="36"/>
      <c r="E107" s="36"/>
      <c r="F107" s="37"/>
      <c r="G107" s="36"/>
      <c r="H107" s="38"/>
      <c r="I107" s="36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0" t="n">
        <f aca="false">IF(A107="",0,IF(AND(I107="Ativo",OR(H107="",H107&lt;=EOMONTH(DATE(Painel!$C$4,Painel!$C$6,1),0))),F107,0))</f>
        <v>0</v>
      </c>
      <c r="W107" s="41" t="str">
        <f aca="false">IF(OR(V107=0,G107=""),"",DATE(Painel!$C$4,Painel!$C$6,MIN(G107,DAY(EOMONTH(DATE(Painel!$C$4,Painel!$C$6,1),0)))))</f>
        <v/>
      </c>
      <c r="X107" s="41" t="str">
        <f aca="false">IF(A107="","",IF(INDEX(J107:U107,Painel!$C$6)="","",INDEX(J107:U107,Painel!$C$6)))</f>
        <v/>
      </c>
      <c r="Y107" s="42" t="str">
        <f aca="true">IF(A107="","",IF(I107&lt;&gt;"Ativo","Inativo",IF(V107=0,"Sem cobrança",IF(X107&lt;&gt;"",IF(AND(W107&lt;&gt;"",X107&gt;W107),"Pago com atraso","Pago"),IF(W107="","Sem vencimento",IF(TODAY()&gt;W107,"Em atraso","A vencer"))))))</f>
        <v/>
      </c>
      <c r="Z107" s="43" t="str">
        <f aca="true">IF(Y107="Em atraso",TODAY()-W107,"")</f>
        <v/>
      </c>
      <c r="AA107" s="42" t="str">
        <f aca="false">IF(Y107="Em atraso",COUNTIF($Y$5:Y107,"Em atraso"),"")</f>
        <v/>
      </c>
    </row>
    <row r="108" customFormat="false" ht="15" hidden="false" customHeight="false" outlineLevel="0" collapsed="false">
      <c r="A108" s="36"/>
      <c r="B108" s="36"/>
      <c r="C108" s="36"/>
      <c r="D108" s="36"/>
      <c r="E108" s="36"/>
      <c r="F108" s="37"/>
      <c r="G108" s="36"/>
      <c r="H108" s="38"/>
      <c r="I108" s="36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40" t="n">
        <f aca="false">IF(A108="",0,IF(AND(I108="Ativo",OR(H108="",H108&lt;=EOMONTH(DATE(Painel!$C$4,Painel!$C$6,1),0))),F108,0))</f>
        <v>0</v>
      </c>
      <c r="W108" s="41" t="str">
        <f aca="false">IF(OR(V108=0,G108=""),"",DATE(Painel!$C$4,Painel!$C$6,MIN(G108,DAY(EOMONTH(DATE(Painel!$C$4,Painel!$C$6,1),0)))))</f>
        <v/>
      </c>
      <c r="X108" s="41" t="str">
        <f aca="false">IF(A108="","",IF(INDEX(J108:U108,Painel!$C$6)="","",INDEX(J108:U108,Painel!$C$6)))</f>
        <v/>
      </c>
      <c r="Y108" s="42" t="str">
        <f aca="true">IF(A108="","",IF(I108&lt;&gt;"Ativo","Inativo",IF(V108=0,"Sem cobrança",IF(X108&lt;&gt;"",IF(AND(W108&lt;&gt;"",X108&gt;W108),"Pago com atraso","Pago"),IF(W108="","Sem vencimento",IF(TODAY()&gt;W108,"Em atraso","A vencer"))))))</f>
        <v/>
      </c>
      <c r="Z108" s="43" t="str">
        <f aca="true">IF(Y108="Em atraso",TODAY()-W108,"")</f>
        <v/>
      </c>
      <c r="AA108" s="42" t="str">
        <f aca="false">IF(Y108="Em atraso",COUNTIF($Y$5:Y108,"Em atraso"),"")</f>
        <v/>
      </c>
    </row>
    <row r="109" customFormat="false" ht="15" hidden="false" customHeight="false" outlineLevel="0" collapsed="false">
      <c r="A109" s="36"/>
      <c r="B109" s="36"/>
      <c r="C109" s="36"/>
      <c r="D109" s="36"/>
      <c r="E109" s="36"/>
      <c r="F109" s="37"/>
      <c r="G109" s="36"/>
      <c r="H109" s="38"/>
      <c r="I109" s="36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40" t="n">
        <f aca="false">IF(A109="",0,IF(AND(I109="Ativo",OR(H109="",H109&lt;=EOMONTH(DATE(Painel!$C$4,Painel!$C$6,1),0))),F109,0))</f>
        <v>0</v>
      </c>
      <c r="W109" s="41" t="str">
        <f aca="false">IF(OR(V109=0,G109=""),"",DATE(Painel!$C$4,Painel!$C$6,MIN(G109,DAY(EOMONTH(DATE(Painel!$C$4,Painel!$C$6,1),0)))))</f>
        <v/>
      </c>
      <c r="X109" s="41" t="str">
        <f aca="false">IF(A109="","",IF(INDEX(J109:U109,Painel!$C$6)="","",INDEX(J109:U109,Painel!$C$6)))</f>
        <v/>
      </c>
      <c r="Y109" s="42" t="str">
        <f aca="true">IF(A109="","",IF(I109&lt;&gt;"Ativo","Inativo",IF(V109=0,"Sem cobrança",IF(X109&lt;&gt;"",IF(AND(W109&lt;&gt;"",X109&gt;W109),"Pago com atraso","Pago"),IF(W109="","Sem vencimento",IF(TODAY()&gt;W109,"Em atraso","A vencer"))))))</f>
        <v/>
      </c>
      <c r="Z109" s="43" t="str">
        <f aca="true">IF(Y109="Em atraso",TODAY()-W109,"")</f>
        <v/>
      </c>
      <c r="AA109" s="42" t="str">
        <f aca="false">IF(Y109="Em atraso",COUNTIF($Y$5:Y109,"Em atraso"),"")</f>
        <v/>
      </c>
    </row>
    <row r="110" customFormat="false" ht="15" hidden="false" customHeight="false" outlineLevel="0" collapsed="false">
      <c r="A110" s="36"/>
      <c r="B110" s="36"/>
      <c r="C110" s="36"/>
      <c r="D110" s="36"/>
      <c r="E110" s="36"/>
      <c r="F110" s="37"/>
      <c r="G110" s="36"/>
      <c r="H110" s="38"/>
      <c r="I110" s="36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40" t="n">
        <f aca="false">IF(A110="",0,IF(AND(I110="Ativo",OR(H110="",H110&lt;=EOMONTH(DATE(Painel!$C$4,Painel!$C$6,1),0))),F110,0))</f>
        <v>0</v>
      </c>
      <c r="W110" s="41" t="str">
        <f aca="false">IF(OR(V110=0,G110=""),"",DATE(Painel!$C$4,Painel!$C$6,MIN(G110,DAY(EOMONTH(DATE(Painel!$C$4,Painel!$C$6,1),0)))))</f>
        <v/>
      </c>
      <c r="X110" s="41" t="str">
        <f aca="false">IF(A110="","",IF(INDEX(J110:U110,Painel!$C$6)="","",INDEX(J110:U110,Painel!$C$6)))</f>
        <v/>
      </c>
      <c r="Y110" s="42" t="str">
        <f aca="true">IF(A110="","",IF(I110&lt;&gt;"Ativo","Inativo",IF(V110=0,"Sem cobrança",IF(X110&lt;&gt;"",IF(AND(W110&lt;&gt;"",X110&gt;W110),"Pago com atraso","Pago"),IF(W110="","Sem vencimento",IF(TODAY()&gt;W110,"Em atraso","A vencer"))))))</f>
        <v/>
      </c>
      <c r="Z110" s="43" t="str">
        <f aca="true">IF(Y110="Em atraso",TODAY()-W110,"")</f>
        <v/>
      </c>
      <c r="AA110" s="42" t="str">
        <f aca="false">IF(Y110="Em atraso",COUNTIF($Y$5:Y110,"Em atraso"),"")</f>
        <v/>
      </c>
    </row>
    <row r="111" customFormat="false" ht="15" hidden="false" customHeight="false" outlineLevel="0" collapsed="false">
      <c r="A111" s="36"/>
      <c r="B111" s="36"/>
      <c r="C111" s="36"/>
      <c r="D111" s="36"/>
      <c r="E111" s="36"/>
      <c r="F111" s="37"/>
      <c r="G111" s="36"/>
      <c r="H111" s="38"/>
      <c r="I111" s="36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40" t="n">
        <f aca="false">IF(A111="",0,IF(AND(I111="Ativo",OR(H111="",H111&lt;=EOMONTH(DATE(Painel!$C$4,Painel!$C$6,1),0))),F111,0))</f>
        <v>0</v>
      </c>
      <c r="W111" s="41" t="str">
        <f aca="false">IF(OR(V111=0,G111=""),"",DATE(Painel!$C$4,Painel!$C$6,MIN(G111,DAY(EOMONTH(DATE(Painel!$C$4,Painel!$C$6,1),0)))))</f>
        <v/>
      </c>
      <c r="X111" s="41" t="str">
        <f aca="false">IF(A111="","",IF(INDEX(J111:U111,Painel!$C$6)="","",INDEX(J111:U111,Painel!$C$6)))</f>
        <v/>
      </c>
      <c r="Y111" s="42" t="str">
        <f aca="true">IF(A111="","",IF(I111&lt;&gt;"Ativo","Inativo",IF(V111=0,"Sem cobrança",IF(X111&lt;&gt;"",IF(AND(W111&lt;&gt;"",X111&gt;W111),"Pago com atraso","Pago"),IF(W111="","Sem vencimento",IF(TODAY()&gt;W111,"Em atraso","A vencer"))))))</f>
        <v/>
      </c>
      <c r="Z111" s="43" t="str">
        <f aca="true">IF(Y111="Em atraso",TODAY()-W111,"")</f>
        <v/>
      </c>
      <c r="AA111" s="42" t="str">
        <f aca="false">IF(Y111="Em atraso",COUNTIF($Y$5:Y111,"Em atraso"),"")</f>
        <v/>
      </c>
    </row>
    <row r="112" customFormat="false" ht="15" hidden="false" customHeight="false" outlineLevel="0" collapsed="false">
      <c r="A112" s="36"/>
      <c r="B112" s="36"/>
      <c r="C112" s="36"/>
      <c r="D112" s="36"/>
      <c r="E112" s="36"/>
      <c r="F112" s="37"/>
      <c r="G112" s="36"/>
      <c r="H112" s="38"/>
      <c r="I112" s="36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0" t="n">
        <f aca="false">IF(A112="",0,IF(AND(I112="Ativo",OR(H112="",H112&lt;=EOMONTH(DATE(Painel!$C$4,Painel!$C$6,1),0))),F112,0))</f>
        <v>0</v>
      </c>
      <c r="W112" s="41" t="str">
        <f aca="false">IF(OR(V112=0,G112=""),"",DATE(Painel!$C$4,Painel!$C$6,MIN(G112,DAY(EOMONTH(DATE(Painel!$C$4,Painel!$C$6,1),0)))))</f>
        <v/>
      </c>
      <c r="X112" s="41" t="str">
        <f aca="false">IF(A112="","",IF(INDEX(J112:U112,Painel!$C$6)="","",INDEX(J112:U112,Painel!$C$6)))</f>
        <v/>
      </c>
      <c r="Y112" s="42" t="str">
        <f aca="true">IF(A112="","",IF(I112&lt;&gt;"Ativo","Inativo",IF(V112=0,"Sem cobrança",IF(X112&lt;&gt;"",IF(AND(W112&lt;&gt;"",X112&gt;W112),"Pago com atraso","Pago"),IF(W112="","Sem vencimento",IF(TODAY()&gt;W112,"Em atraso","A vencer"))))))</f>
        <v/>
      </c>
      <c r="Z112" s="43" t="str">
        <f aca="true">IF(Y112="Em atraso",TODAY()-W112,"")</f>
        <v/>
      </c>
      <c r="AA112" s="42" t="str">
        <f aca="false">IF(Y112="Em atraso",COUNTIF($Y$5:Y112,"Em atraso"),"")</f>
        <v/>
      </c>
    </row>
    <row r="113" customFormat="false" ht="15" hidden="false" customHeight="false" outlineLevel="0" collapsed="false">
      <c r="A113" s="36"/>
      <c r="B113" s="36"/>
      <c r="C113" s="36"/>
      <c r="D113" s="36"/>
      <c r="E113" s="36"/>
      <c r="F113" s="37"/>
      <c r="G113" s="36"/>
      <c r="H113" s="38"/>
      <c r="I113" s="36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40" t="n">
        <f aca="false">IF(A113="",0,IF(AND(I113="Ativo",OR(H113="",H113&lt;=EOMONTH(DATE(Painel!$C$4,Painel!$C$6,1),0))),F113,0))</f>
        <v>0</v>
      </c>
      <c r="W113" s="41" t="str">
        <f aca="false">IF(OR(V113=0,G113=""),"",DATE(Painel!$C$4,Painel!$C$6,MIN(G113,DAY(EOMONTH(DATE(Painel!$C$4,Painel!$C$6,1),0)))))</f>
        <v/>
      </c>
      <c r="X113" s="41" t="str">
        <f aca="false">IF(A113="","",IF(INDEX(J113:U113,Painel!$C$6)="","",INDEX(J113:U113,Painel!$C$6)))</f>
        <v/>
      </c>
      <c r="Y113" s="42" t="str">
        <f aca="true">IF(A113="","",IF(I113&lt;&gt;"Ativo","Inativo",IF(V113=0,"Sem cobrança",IF(X113&lt;&gt;"",IF(AND(W113&lt;&gt;"",X113&gt;W113),"Pago com atraso","Pago"),IF(W113="","Sem vencimento",IF(TODAY()&gt;W113,"Em atraso","A vencer"))))))</f>
        <v/>
      </c>
      <c r="Z113" s="43" t="str">
        <f aca="true">IF(Y113="Em atraso",TODAY()-W113,"")</f>
        <v/>
      </c>
      <c r="AA113" s="42" t="str">
        <f aca="false">IF(Y113="Em atraso",COUNTIF($Y$5:Y113,"Em atraso"),"")</f>
        <v/>
      </c>
    </row>
    <row r="114" customFormat="false" ht="15" hidden="false" customHeight="false" outlineLevel="0" collapsed="false">
      <c r="A114" s="36"/>
      <c r="B114" s="36"/>
      <c r="C114" s="36"/>
      <c r="D114" s="36"/>
      <c r="E114" s="36"/>
      <c r="F114" s="37"/>
      <c r="G114" s="36"/>
      <c r="H114" s="38"/>
      <c r="I114" s="36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40" t="n">
        <f aca="false">IF(A114="",0,IF(AND(I114="Ativo",OR(H114="",H114&lt;=EOMONTH(DATE(Painel!$C$4,Painel!$C$6,1),0))),F114,0))</f>
        <v>0</v>
      </c>
      <c r="W114" s="41" t="str">
        <f aca="false">IF(OR(V114=0,G114=""),"",DATE(Painel!$C$4,Painel!$C$6,MIN(G114,DAY(EOMONTH(DATE(Painel!$C$4,Painel!$C$6,1),0)))))</f>
        <v/>
      </c>
      <c r="X114" s="41" t="str">
        <f aca="false">IF(A114="","",IF(INDEX(J114:U114,Painel!$C$6)="","",INDEX(J114:U114,Painel!$C$6)))</f>
        <v/>
      </c>
      <c r="Y114" s="42" t="str">
        <f aca="true">IF(A114="","",IF(I114&lt;&gt;"Ativo","Inativo",IF(V114=0,"Sem cobrança",IF(X114&lt;&gt;"",IF(AND(W114&lt;&gt;"",X114&gt;W114),"Pago com atraso","Pago"),IF(W114="","Sem vencimento",IF(TODAY()&gt;W114,"Em atraso","A vencer"))))))</f>
        <v/>
      </c>
      <c r="Z114" s="43" t="str">
        <f aca="true">IF(Y114="Em atraso",TODAY()-W114,"")</f>
        <v/>
      </c>
      <c r="AA114" s="42" t="str">
        <f aca="false">IF(Y114="Em atraso",COUNTIF($Y$5:Y114,"Em atraso"),"")</f>
        <v/>
      </c>
    </row>
    <row r="115" customFormat="false" ht="15" hidden="false" customHeight="false" outlineLevel="0" collapsed="false">
      <c r="A115" s="36"/>
      <c r="B115" s="36"/>
      <c r="C115" s="36"/>
      <c r="D115" s="36"/>
      <c r="E115" s="36"/>
      <c r="F115" s="37"/>
      <c r="G115" s="36"/>
      <c r="H115" s="38"/>
      <c r="I115" s="36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40" t="n">
        <f aca="false">IF(A115="",0,IF(AND(I115="Ativo",OR(H115="",H115&lt;=EOMONTH(DATE(Painel!$C$4,Painel!$C$6,1),0))),F115,0))</f>
        <v>0</v>
      </c>
      <c r="W115" s="41" t="str">
        <f aca="false">IF(OR(V115=0,G115=""),"",DATE(Painel!$C$4,Painel!$C$6,MIN(G115,DAY(EOMONTH(DATE(Painel!$C$4,Painel!$C$6,1),0)))))</f>
        <v/>
      </c>
      <c r="X115" s="41" t="str">
        <f aca="false">IF(A115="","",IF(INDEX(J115:U115,Painel!$C$6)="","",INDEX(J115:U115,Painel!$C$6)))</f>
        <v/>
      </c>
      <c r="Y115" s="42" t="str">
        <f aca="true">IF(A115="","",IF(I115&lt;&gt;"Ativo","Inativo",IF(V115=0,"Sem cobrança",IF(X115&lt;&gt;"",IF(AND(W115&lt;&gt;"",X115&gt;W115),"Pago com atraso","Pago"),IF(W115="","Sem vencimento",IF(TODAY()&gt;W115,"Em atraso","A vencer"))))))</f>
        <v/>
      </c>
      <c r="Z115" s="43" t="str">
        <f aca="true">IF(Y115="Em atraso",TODAY()-W115,"")</f>
        <v/>
      </c>
      <c r="AA115" s="42" t="str">
        <f aca="false">IF(Y115="Em atraso",COUNTIF($Y$5:Y115,"Em atraso"),"")</f>
        <v/>
      </c>
    </row>
    <row r="116" customFormat="false" ht="15" hidden="false" customHeight="false" outlineLevel="0" collapsed="false">
      <c r="A116" s="36"/>
      <c r="B116" s="36"/>
      <c r="C116" s="36"/>
      <c r="D116" s="36"/>
      <c r="E116" s="36"/>
      <c r="F116" s="37"/>
      <c r="G116" s="36"/>
      <c r="H116" s="38"/>
      <c r="I116" s="36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40" t="n">
        <f aca="false">IF(A116="",0,IF(AND(I116="Ativo",OR(H116="",H116&lt;=EOMONTH(DATE(Painel!$C$4,Painel!$C$6,1),0))),F116,0))</f>
        <v>0</v>
      </c>
      <c r="W116" s="41" t="str">
        <f aca="false">IF(OR(V116=0,G116=""),"",DATE(Painel!$C$4,Painel!$C$6,MIN(G116,DAY(EOMONTH(DATE(Painel!$C$4,Painel!$C$6,1),0)))))</f>
        <v/>
      </c>
      <c r="X116" s="41" t="str">
        <f aca="false">IF(A116="","",IF(INDEX(J116:U116,Painel!$C$6)="","",INDEX(J116:U116,Painel!$C$6)))</f>
        <v/>
      </c>
      <c r="Y116" s="42" t="str">
        <f aca="true">IF(A116="","",IF(I116&lt;&gt;"Ativo","Inativo",IF(V116=0,"Sem cobrança",IF(X116&lt;&gt;"",IF(AND(W116&lt;&gt;"",X116&gt;W116),"Pago com atraso","Pago"),IF(W116="","Sem vencimento",IF(TODAY()&gt;W116,"Em atraso","A vencer"))))))</f>
        <v/>
      </c>
      <c r="Z116" s="43" t="str">
        <f aca="true">IF(Y116="Em atraso",TODAY()-W116,"")</f>
        <v/>
      </c>
      <c r="AA116" s="42" t="str">
        <f aca="false">IF(Y116="Em atraso",COUNTIF($Y$5:Y116,"Em atraso"),"")</f>
        <v/>
      </c>
    </row>
    <row r="117" customFormat="false" ht="15" hidden="false" customHeight="false" outlineLevel="0" collapsed="false">
      <c r="A117" s="36"/>
      <c r="B117" s="36"/>
      <c r="C117" s="36"/>
      <c r="D117" s="36"/>
      <c r="E117" s="36"/>
      <c r="F117" s="37"/>
      <c r="G117" s="36"/>
      <c r="H117" s="38"/>
      <c r="I117" s="36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0" t="n">
        <f aca="false">IF(A117="",0,IF(AND(I117="Ativo",OR(H117="",H117&lt;=EOMONTH(DATE(Painel!$C$4,Painel!$C$6,1),0))),F117,0))</f>
        <v>0</v>
      </c>
      <c r="W117" s="41" t="str">
        <f aca="false">IF(OR(V117=0,G117=""),"",DATE(Painel!$C$4,Painel!$C$6,MIN(G117,DAY(EOMONTH(DATE(Painel!$C$4,Painel!$C$6,1),0)))))</f>
        <v/>
      </c>
      <c r="X117" s="41" t="str">
        <f aca="false">IF(A117="","",IF(INDEX(J117:U117,Painel!$C$6)="","",INDEX(J117:U117,Painel!$C$6)))</f>
        <v/>
      </c>
      <c r="Y117" s="42" t="str">
        <f aca="true">IF(A117="","",IF(I117&lt;&gt;"Ativo","Inativo",IF(V117=0,"Sem cobrança",IF(X117&lt;&gt;"",IF(AND(W117&lt;&gt;"",X117&gt;W117),"Pago com atraso","Pago"),IF(W117="","Sem vencimento",IF(TODAY()&gt;W117,"Em atraso","A vencer"))))))</f>
        <v/>
      </c>
      <c r="Z117" s="43" t="str">
        <f aca="true">IF(Y117="Em atraso",TODAY()-W117,"")</f>
        <v/>
      </c>
      <c r="AA117" s="42" t="str">
        <f aca="false">IF(Y117="Em atraso",COUNTIF($Y$5:Y117,"Em atraso"),"")</f>
        <v/>
      </c>
    </row>
    <row r="118" customFormat="false" ht="15" hidden="false" customHeight="false" outlineLevel="0" collapsed="false">
      <c r="A118" s="36"/>
      <c r="B118" s="36"/>
      <c r="C118" s="36"/>
      <c r="D118" s="36"/>
      <c r="E118" s="36"/>
      <c r="F118" s="37"/>
      <c r="G118" s="36"/>
      <c r="H118" s="38"/>
      <c r="I118" s="36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40" t="n">
        <f aca="false">IF(A118="",0,IF(AND(I118="Ativo",OR(H118="",H118&lt;=EOMONTH(DATE(Painel!$C$4,Painel!$C$6,1),0))),F118,0))</f>
        <v>0</v>
      </c>
      <c r="W118" s="41" t="str">
        <f aca="false">IF(OR(V118=0,G118=""),"",DATE(Painel!$C$4,Painel!$C$6,MIN(G118,DAY(EOMONTH(DATE(Painel!$C$4,Painel!$C$6,1),0)))))</f>
        <v/>
      </c>
      <c r="X118" s="41" t="str">
        <f aca="false">IF(A118="","",IF(INDEX(J118:U118,Painel!$C$6)="","",INDEX(J118:U118,Painel!$C$6)))</f>
        <v/>
      </c>
      <c r="Y118" s="42" t="str">
        <f aca="true">IF(A118="","",IF(I118&lt;&gt;"Ativo","Inativo",IF(V118=0,"Sem cobrança",IF(X118&lt;&gt;"",IF(AND(W118&lt;&gt;"",X118&gt;W118),"Pago com atraso","Pago"),IF(W118="","Sem vencimento",IF(TODAY()&gt;W118,"Em atraso","A vencer"))))))</f>
        <v/>
      </c>
      <c r="Z118" s="43" t="str">
        <f aca="true">IF(Y118="Em atraso",TODAY()-W118,"")</f>
        <v/>
      </c>
      <c r="AA118" s="42" t="str">
        <f aca="false">IF(Y118="Em atraso",COUNTIF($Y$5:Y118,"Em atraso"),"")</f>
        <v/>
      </c>
    </row>
    <row r="119" customFormat="false" ht="15" hidden="false" customHeight="false" outlineLevel="0" collapsed="false">
      <c r="A119" s="36"/>
      <c r="B119" s="36"/>
      <c r="C119" s="36"/>
      <c r="D119" s="36"/>
      <c r="E119" s="36"/>
      <c r="F119" s="37"/>
      <c r="G119" s="36"/>
      <c r="H119" s="38"/>
      <c r="I119" s="36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40" t="n">
        <f aca="false">IF(A119="",0,IF(AND(I119="Ativo",OR(H119="",H119&lt;=EOMONTH(DATE(Painel!$C$4,Painel!$C$6,1),0))),F119,0))</f>
        <v>0</v>
      </c>
      <c r="W119" s="41" t="str">
        <f aca="false">IF(OR(V119=0,G119=""),"",DATE(Painel!$C$4,Painel!$C$6,MIN(G119,DAY(EOMONTH(DATE(Painel!$C$4,Painel!$C$6,1),0)))))</f>
        <v/>
      </c>
      <c r="X119" s="41" t="str">
        <f aca="false">IF(A119="","",IF(INDEX(J119:U119,Painel!$C$6)="","",INDEX(J119:U119,Painel!$C$6)))</f>
        <v/>
      </c>
      <c r="Y119" s="42" t="str">
        <f aca="true">IF(A119="","",IF(I119&lt;&gt;"Ativo","Inativo",IF(V119=0,"Sem cobrança",IF(X119&lt;&gt;"",IF(AND(W119&lt;&gt;"",X119&gt;W119),"Pago com atraso","Pago"),IF(W119="","Sem vencimento",IF(TODAY()&gt;W119,"Em atraso","A vencer"))))))</f>
        <v/>
      </c>
      <c r="Z119" s="43" t="str">
        <f aca="true">IF(Y119="Em atraso",TODAY()-W119,"")</f>
        <v/>
      </c>
      <c r="AA119" s="42" t="str">
        <f aca="false">IF(Y119="Em atraso",COUNTIF($Y$5:Y119,"Em atraso"),"")</f>
        <v/>
      </c>
    </row>
    <row r="120" customFormat="false" ht="15" hidden="false" customHeight="false" outlineLevel="0" collapsed="false">
      <c r="A120" s="36"/>
      <c r="B120" s="36"/>
      <c r="C120" s="36"/>
      <c r="D120" s="36"/>
      <c r="E120" s="36"/>
      <c r="F120" s="37"/>
      <c r="G120" s="36"/>
      <c r="H120" s="38"/>
      <c r="I120" s="36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40" t="n">
        <f aca="false">IF(A120="",0,IF(AND(I120="Ativo",OR(H120="",H120&lt;=EOMONTH(DATE(Painel!$C$4,Painel!$C$6,1),0))),F120,0))</f>
        <v>0</v>
      </c>
      <c r="W120" s="41" t="str">
        <f aca="false">IF(OR(V120=0,G120=""),"",DATE(Painel!$C$4,Painel!$C$6,MIN(G120,DAY(EOMONTH(DATE(Painel!$C$4,Painel!$C$6,1),0)))))</f>
        <v/>
      </c>
      <c r="X120" s="41" t="str">
        <f aca="false">IF(A120="","",IF(INDEX(J120:U120,Painel!$C$6)="","",INDEX(J120:U120,Painel!$C$6)))</f>
        <v/>
      </c>
      <c r="Y120" s="42" t="str">
        <f aca="true">IF(A120="","",IF(I120&lt;&gt;"Ativo","Inativo",IF(V120=0,"Sem cobrança",IF(X120&lt;&gt;"",IF(AND(W120&lt;&gt;"",X120&gt;W120),"Pago com atraso","Pago"),IF(W120="","Sem vencimento",IF(TODAY()&gt;W120,"Em atraso","A vencer"))))))</f>
        <v/>
      </c>
      <c r="Z120" s="43" t="str">
        <f aca="true">IF(Y120="Em atraso",TODAY()-W120,"")</f>
        <v/>
      </c>
      <c r="AA120" s="42" t="str">
        <f aca="false">IF(Y120="Em atraso",COUNTIF($Y$5:Y120,"Em atraso"),"")</f>
        <v/>
      </c>
    </row>
    <row r="121" customFormat="false" ht="15" hidden="false" customHeight="false" outlineLevel="0" collapsed="false">
      <c r="A121" s="36"/>
      <c r="B121" s="36"/>
      <c r="C121" s="36"/>
      <c r="D121" s="36"/>
      <c r="E121" s="36"/>
      <c r="F121" s="37"/>
      <c r="G121" s="36"/>
      <c r="H121" s="38"/>
      <c r="I121" s="36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40" t="n">
        <f aca="false">IF(A121="",0,IF(AND(I121="Ativo",OR(H121="",H121&lt;=EOMONTH(DATE(Painel!$C$4,Painel!$C$6,1),0))),F121,0))</f>
        <v>0</v>
      </c>
      <c r="W121" s="41" t="str">
        <f aca="false">IF(OR(V121=0,G121=""),"",DATE(Painel!$C$4,Painel!$C$6,MIN(G121,DAY(EOMONTH(DATE(Painel!$C$4,Painel!$C$6,1),0)))))</f>
        <v/>
      </c>
      <c r="X121" s="41" t="str">
        <f aca="false">IF(A121="","",IF(INDEX(J121:U121,Painel!$C$6)="","",INDEX(J121:U121,Painel!$C$6)))</f>
        <v/>
      </c>
      <c r="Y121" s="42" t="str">
        <f aca="true">IF(A121="","",IF(I121&lt;&gt;"Ativo","Inativo",IF(V121=0,"Sem cobrança",IF(X121&lt;&gt;"",IF(AND(W121&lt;&gt;"",X121&gt;W121),"Pago com atraso","Pago"),IF(W121="","Sem vencimento",IF(TODAY()&gt;W121,"Em atraso","A vencer"))))))</f>
        <v/>
      </c>
      <c r="Z121" s="43" t="str">
        <f aca="true">IF(Y121="Em atraso",TODAY()-W121,"")</f>
        <v/>
      </c>
      <c r="AA121" s="42" t="str">
        <f aca="false">IF(Y121="Em atraso",COUNTIF($Y$5:Y121,"Em atraso"),"")</f>
        <v/>
      </c>
    </row>
    <row r="122" customFormat="false" ht="15" hidden="false" customHeight="false" outlineLevel="0" collapsed="false">
      <c r="A122" s="36"/>
      <c r="B122" s="36"/>
      <c r="C122" s="36"/>
      <c r="D122" s="36"/>
      <c r="E122" s="36"/>
      <c r="F122" s="37"/>
      <c r="G122" s="36"/>
      <c r="H122" s="38"/>
      <c r="I122" s="36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 t="n">
        <f aca="false">IF(A122="",0,IF(AND(I122="Ativo",OR(H122="",H122&lt;=EOMONTH(DATE(Painel!$C$4,Painel!$C$6,1),0))),F122,0))</f>
        <v>0</v>
      </c>
      <c r="W122" s="41" t="str">
        <f aca="false">IF(OR(V122=0,G122=""),"",DATE(Painel!$C$4,Painel!$C$6,MIN(G122,DAY(EOMONTH(DATE(Painel!$C$4,Painel!$C$6,1),0)))))</f>
        <v/>
      </c>
      <c r="X122" s="41" t="str">
        <f aca="false">IF(A122="","",IF(INDEX(J122:U122,Painel!$C$6)="","",INDEX(J122:U122,Painel!$C$6)))</f>
        <v/>
      </c>
      <c r="Y122" s="42" t="str">
        <f aca="true">IF(A122="","",IF(I122&lt;&gt;"Ativo","Inativo",IF(V122=0,"Sem cobrança",IF(X122&lt;&gt;"",IF(AND(W122&lt;&gt;"",X122&gt;W122),"Pago com atraso","Pago"),IF(W122="","Sem vencimento",IF(TODAY()&gt;W122,"Em atraso","A vencer"))))))</f>
        <v/>
      </c>
      <c r="Z122" s="43" t="str">
        <f aca="true">IF(Y122="Em atraso",TODAY()-W122,"")</f>
        <v/>
      </c>
      <c r="AA122" s="42" t="str">
        <f aca="false">IF(Y122="Em atraso",COUNTIF($Y$5:Y122,"Em atraso"),"")</f>
        <v/>
      </c>
    </row>
    <row r="123" customFormat="false" ht="15" hidden="false" customHeight="false" outlineLevel="0" collapsed="false">
      <c r="A123" s="36"/>
      <c r="B123" s="36"/>
      <c r="C123" s="36"/>
      <c r="D123" s="36"/>
      <c r="E123" s="36"/>
      <c r="F123" s="37"/>
      <c r="G123" s="36"/>
      <c r="H123" s="38"/>
      <c r="I123" s="36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40" t="n">
        <f aca="false">IF(A123="",0,IF(AND(I123="Ativo",OR(H123="",H123&lt;=EOMONTH(DATE(Painel!$C$4,Painel!$C$6,1),0))),F123,0))</f>
        <v>0</v>
      </c>
      <c r="W123" s="41" t="str">
        <f aca="false">IF(OR(V123=0,G123=""),"",DATE(Painel!$C$4,Painel!$C$6,MIN(G123,DAY(EOMONTH(DATE(Painel!$C$4,Painel!$C$6,1),0)))))</f>
        <v/>
      </c>
      <c r="X123" s="41" t="str">
        <f aca="false">IF(A123="","",IF(INDEX(J123:U123,Painel!$C$6)="","",INDEX(J123:U123,Painel!$C$6)))</f>
        <v/>
      </c>
      <c r="Y123" s="42" t="str">
        <f aca="true">IF(A123="","",IF(I123&lt;&gt;"Ativo","Inativo",IF(V123=0,"Sem cobrança",IF(X123&lt;&gt;"",IF(AND(W123&lt;&gt;"",X123&gt;W123),"Pago com atraso","Pago"),IF(W123="","Sem vencimento",IF(TODAY()&gt;W123,"Em atraso","A vencer"))))))</f>
        <v/>
      </c>
      <c r="Z123" s="43" t="str">
        <f aca="true">IF(Y123="Em atraso",TODAY()-W123,"")</f>
        <v/>
      </c>
      <c r="AA123" s="42" t="str">
        <f aca="false">IF(Y123="Em atraso",COUNTIF($Y$5:Y123,"Em atraso"),"")</f>
        <v/>
      </c>
    </row>
    <row r="124" customFormat="false" ht="15" hidden="false" customHeight="false" outlineLevel="0" collapsed="false">
      <c r="A124" s="36"/>
      <c r="B124" s="36"/>
      <c r="C124" s="36"/>
      <c r="D124" s="36"/>
      <c r="E124" s="36"/>
      <c r="F124" s="37"/>
      <c r="G124" s="36"/>
      <c r="H124" s="38"/>
      <c r="I124" s="36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40" t="n">
        <f aca="false">IF(A124="",0,IF(AND(I124="Ativo",OR(H124="",H124&lt;=EOMONTH(DATE(Painel!$C$4,Painel!$C$6,1),0))),F124,0))</f>
        <v>0</v>
      </c>
      <c r="W124" s="41" t="str">
        <f aca="false">IF(OR(V124=0,G124=""),"",DATE(Painel!$C$4,Painel!$C$6,MIN(G124,DAY(EOMONTH(DATE(Painel!$C$4,Painel!$C$6,1),0)))))</f>
        <v/>
      </c>
      <c r="X124" s="41" t="str">
        <f aca="false">IF(A124="","",IF(INDEX(J124:U124,Painel!$C$6)="","",INDEX(J124:U124,Painel!$C$6)))</f>
        <v/>
      </c>
      <c r="Y124" s="42" t="str">
        <f aca="true">IF(A124="","",IF(I124&lt;&gt;"Ativo","Inativo",IF(V124=0,"Sem cobrança",IF(X124&lt;&gt;"",IF(AND(W124&lt;&gt;"",X124&gt;W124),"Pago com atraso","Pago"),IF(W124="","Sem vencimento",IF(TODAY()&gt;W124,"Em atraso","A vencer"))))))</f>
        <v/>
      </c>
      <c r="Z124" s="43" t="str">
        <f aca="true">IF(Y124="Em atraso",TODAY()-W124,"")</f>
        <v/>
      </c>
      <c r="AA124" s="42" t="str">
        <f aca="false">IF(Y124="Em atraso",COUNTIF($Y$5:Y124,"Em atraso"),"")</f>
        <v/>
      </c>
    </row>
    <row r="125" customFormat="false" ht="15" hidden="false" customHeight="false" outlineLevel="0" collapsed="false">
      <c r="A125" s="36"/>
      <c r="B125" s="36"/>
      <c r="C125" s="36"/>
      <c r="D125" s="36"/>
      <c r="E125" s="36"/>
      <c r="F125" s="37"/>
      <c r="G125" s="36"/>
      <c r="H125" s="38"/>
      <c r="I125" s="36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40" t="n">
        <f aca="false">IF(A125="",0,IF(AND(I125="Ativo",OR(H125="",H125&lt;=EOMONTH(DATE(Painel!$C$4,Painel!$C$6,1),0))),F125,0))</f>
        <v>0</v>
      </c>
      <c r="W125" s="41" t="str">
        <f aca="false">IF(OR(V125=0,G125=""),"",DATE(Painel!$C$4,Painel!$C$6,MIN(G125,DAY(EOMONTH(DATE(Painel!$C$4,Painel!$C$6,1),0)))))</f>
        <v/>
      </c>
      <c r="X125" s="41" t="str">
        <f aca="false">IF(A125="","",IF(INDEX(J125:U125,Painel!$C$6)="","",INDEX(J125:U125,Painel!$C$6)))</f>
        <v/>
      </c>
      <c r="Y125" s="42" t="str">
        <f aca="true">IF(A125="","",IF(I125&lt;&gt;"Ativo","Inativo",IF(V125=0,"Sem cobrança",IF(X125&lt;&gt;"",IF(AND(W125&lt;&gt;"",X125&gt;W125),"Pago com atraso","Pago"),IF(W125="","Sem vencimento",IF(TODAY()&gt;W125,"Em atraso","A vencer"))))))</f>
        <v/>
      </c>
      <c r="Z125" s="43" t="str">
        <f aca="true">IF(Y125="Em atraso",TODAY()-W125,"")</f>
        <v/>
      </c>
      <c r="AA125" s="42" t="str">
        <f aca="false">IF(Y125="Em atraso",COUNTIF($Y$5:Y125,"Em atraso"),"")</f>
        <v/>
      </c>
    </row>
    <row r="126" customFormat="false" ht="15" hidden="false" customHeight="false" outlineLevel="0" collapsed="false">
      <c r="A126" s="36"/>
      <c r="B126" s="36"/>
      <c r="C126" s="36"/>
      <c r="D126" s="36"/>
      <c r="E126" s="36"/>
      <c r="F126" s="37"/>
      <c r="G126" s="36"/>
      <c r="H126" s="38"/>
      <c r="I126" s="36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40" t="n">
        <f aca="false">IF(A126="",0,IF(AND(I126="Ativo",OR(H126="",H126&lt;=EOMONTH(DATE(Painel!$C$4,Painel!$C$6,1),0))),F126,0))</f>
        <v>0</v>
      </c>
      <c r="W126" s="41" t="str">
        <f aca="false">IF(OR(V126=0,G126=""),"",DATE(Painel!$C$4,Painel!$C$6,MIN(G126,DAY(EOMONTH(DATE(Painel!$C$4,Painel!$C$6,1),0)))))</f>
        <v/>
      </c>
      <c r="X126" s="41" t="str">
        <f aca="false">IF(A126="","",IF(INDEX(J126:U126,Painel!$C$6)="","",INDEX(J126:U126,Painel!$C$6)))</f>
        <v/>
      </c>
      <c r="Y126" s="42" t="str">
        <f aca="true">IF(A126="","",IF(I126&lt;&gt;"Ativo","Inativo",IF(V126=0,"Sem cobrança",IF(X126&lt;&gt;"",IF(AND(W126&lt;&gt;"",X126&gt;W126),"Pago com atraso","Pago"),IF(W126="","Sem vencimento",IF(TODAY()&gt;W126,"Em atraso","A vencer"))))))</f>
        <v/>
      </c>
      <c r="Z126" s="43" t="str">
        <f aca="true">IF(Y126="Em atraso",TODAY()-W126,"")</f>
        <v/>
      </c>
      <c r="AA126" s="42" t="str">
        <f aca="false">IF(Y126="Em atraso",COUNTIF($Y$5:Y126,"Em atraso"),"")</f>
        <v/>
      </c>
    </row>
    <row r="127" customFormat="false" ht="15" hidden="false" customHeight="false" outlineLevel="0" collapsed="false">
      <c r="A127" s="36"/>
      <c r="B127" s="36"/>
      <c r="C127" s="36"/>
      <c r="D127" s="36"/>
      <c r="E127" s="36"/>
      <c r="F127" s="37"/>
      <c r="G127" s="36"/>
      <c r="H127" s="38"/>
      <c r="I127" s="36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0" t="n">
        <f aca="false">IF(A127="",0,IF(AND(I127="Ativo",OR(H127="",H127&lt;=EOMONTH(DATE(Painel!$C$4,Painel!$C$6,1),0))),F127,0))</f>
        <v>0</v>
      </c>
      <c r="W127" s="41" t="str">
        <f aca="false">IF(OR(V127=0,G127=""),"",DATE(Painel!$C$4,Painel!$C$6,MIN(G127,DAY(EOMONTH(DATE(Painel!$C$4,Painel!$C$6,1),0)))))</f>
        <v/>
      </c>
      <c r="X127" s="41" t="str">
        <f aca="false">IF(A127="","",IF(INDEX(J127:U127,Painel!$C$6)="","",INDEX(J127:U127,Painel!$C$6)))</f>
        <v/>
      </c>
      <c r="Y127" s="42" t="str">
        <f aca="true">IF(A127="","",IF(I127&lt;&gt;"Ativo","Inativo",IF(V127=0,"Sem cobrança",IF(X127&lt;&gt;"",IF(AND(W127&lt;&gt;"",X127&gt;W127),"Pago com atraso","Pago"),IF(W127="","Sem vencimento",IF(TODAY()&gt;W127,"Em atraso","A vencer"))))))</f>
        <v/>
      </c>
      <c r="Z127" s="43" t="str">
        <f aca="true">IF(Y127="Em atraso",TODAY()-W127,"")</f>
        <v/>
      </c>
      <c r="AA127" s="42" t="str">
        <f aca="false">IF(Y127="Em atraso",COUNTIF($Y$5:Y127,"Em atraso"),"")</f>
        <v/>
      </c>
    </row>
    <row r="128" customFormat="false" ht="15" hidden="false" customHeight="false" outlineLevel="0" collapsed="false">
      <c r="A128" s="36"/>
      <c r="B128" s="36"/>
      <c r="C128" s="36"/>
      <c r="D128" s="36"/>
      <c r="E128" s="36"/>
      <c r="F128" s="37"/>
      <c r="G128" s="36"/>
      <c r="H128" s="38"/>
      <c r="I128" s="36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40" t="n">
        <f aca="false">IF(A128="",0,IF(AND(I128="Ativo",OR(H128="",H128&lt;=EOMONTH(DATE(Painel!$C$4,Painel!$C$6,1),0))),F128,0))</f>
        <v>0</v>
      </c>
      <c r="W128" s="41" t="str">
        <f aca="false">IF(OR(V128=0,G128=""),"",DATE(Painel!$C$4,Painel!$C$6,MIN(G128,DAY(EOMONTH(DATE(Painel!$C$4,Painel!$C$6,1),0)))))</f>
        <v/>
      </c>
      <c r="X128" s="41" t="str">
        <f aca="false">IF(A128="","",IF(INDEX(J128:U128,Painel!$C$6)="","",INDEX(J128:U128,Painel!$C$6)))</f>
        <v/>
      </c>
      <c r="Y128" s="42" t="str">
        <f aca="true">IF(A128="","",IF(I128&lt;&gt;"Ativo","Inativo",IF(V128=0,"Sem cobrança",IF(X128&lt;&gt;"",IF(AND(W128&lt;&gt;"",X128&gt;W128),"Pago com atraso","Pago"),IF(W128="","Sem vencimento",IF(TODAY()&gt;W128,"Em atraso","A vencer"))))))</f>
        <v/>
      </c>
      <c r="Z128" s="43" t="str">
        <f aca="true">IF(Y128="Em atraso",TODAY()-W128,"")</f>
        <v/>
      </c>
      <c r="AA128" s="42" t="str">
        <f aca="false">IF(Y128="Em atraso",COUNTIF($Y$5:Y128,"Em atraso"),"")</f>
        <v/>
      </c>
    </row>
    <row r="129" customFormat="false" ht="15" hidden="false" customHeight="false" outlineLevel="0" collapsed="false">
      <c r="A129" s="36"/>
      <c r="B129" s="36"/>
      <c r="C129" s="36"/>
      <c r="D129" s="36"/>
      <c r="E129" s="36"/>
      <c r="F129" s="37"/>
      <c r="G129" s="36"/>
      <c r="H129" s="38"/>
      <c r="I129" s="36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40" t="n">
        <f aca="false">IF(A129="",0,IF(AND(I129="Ativo",OR(H129="",H129&lt;=EOMONTH(DATE(Painel!$C$4,Painel!$C$6,1),0))),F129,0))</f>
        <v>0</v>
      </c>
      <c r="W129" s="41" t="str">
        <f aca="false">IF(OR(V129=0,G129=""),"",DATE(Painel!$C$4,Painel!$C$6,MIN(G129,DAY(EOMONTH(DATE(Painel!$C$4,Painel!$C$6,1),0)))))</f>
        <v/>
      </c>
      <c r="X129" s="41" t="str">
        <f aca="false">IF(A129="","",IF(INDEX(J129:U129,Painel!$C$6)="","",INDEX(J129:U129,Painel!$C$6)))</f>
        <v/>
      </c>
      <c r="Y129" s="42" t="str">
        <f aca="true">IF(A129="","",IF(I129&lt;&gt;"Ativo","Inativo",IF(V129=0,"Sem cobrança",IF(X129&lt;&gt;"",IF(AND(W129&lt;&gt;"",X129&gt;W129),"Pago com atraso","Pago"),IF(W129="","Sem vencimento",IF(TODAY()&gt;W129,"Em atraso","A vencer"))))))</f>
        <v/>
      </c>
      <c r="Z129" s="43" t="str">
        <f aca="true">IF(Y129="Em atraso",TODAY()-W129,"")</f>
        <v/>
      </c>
      <c r="AA129" s="42" t="str">
        <f aca="false">IF(Y129="Em atraso",COUNTIF($Y$5:Y129,"Em atraso"),"")</f>
        <v/>
      </c>
    </row>
    <row r="130" customFormat="false" ht="15" hidden="false" customHeight="false" outlineLevel="0" collapsed="false">
      <c r="A130" s="36"/>
      <c r="B130" s="36"/>
      <c r="C130" s="36"/>
      <c r="D130" s="36"/>
      <c r="E130" s="36"/>
      <c r="F130" s="37"/>
      <c r="G130" s="36"/>
      <c r="H130" s="38"/>
      <c r="I130" s="36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40" t="n">
        <f aca="false">IF(A130="",0,IF(AND(I130="Ativo",OR(H130="",H130&lt;=EOMONTH(DATE(Painel!$C$4,Painel!$C$6,1),0))),F130,0))</f>
        <v>0</v>
      </c>
      <c r="W130" s="41" t="str">
        <f aca="false">IF(OR(V130=0,G130=""),"",DATE(Painel!$C$4,Painel!$C$6,MIN(G130,DAY(EOMONTH(DATE(Painel!$C$4,Painel!$C$6,1),0)))))</f>
        <v/>
      </c>
      <c r="X130" s="41" t="str">
        <f aca="false">IF(A130="","",IF(INDEX(J130:U130,Painel!$C$6)="","",INDEX(J130:U130,Painel!$C$6)))</f>
        <v/>
      </c>
      <c r="Y130" s="42" t="str">
        <f aca="true">IF(A130="","",IF(I130&lt;&gt;"Ativo","Inativo",IF(V130=0,"Sem cobrança",IF(X130&lt;&gt;"",IF(AND(W130&lt;&gt;"",X130&gt;W130),"Pago com atraso","Pago"),IF(W130="","Sem vencimento",IF(TODAY()&gt;W130,"Em atraso","A vencer"))))))</f>
        <v/>
      </c>
      <c r="Z130" s="43" t="str">
        <f aca="true">IF(Y130="Em atraso",TODAY()-W130,"")</f>
        <v/>
      </c>
      <c r="AA130" s="42" t="str">
        <f aca="false">IF(Y130="Em atraso",COUNTIF($Y$5:Y130,"Em atraso"),"")</f>
        <v/>
      </c>
    </row>
    <row r="131" customFormat="false" ht="15" hidden="false" customHeight="false" outlineLevel="0" collapsed="false">
      <c r="A131" s="36"/>
      <c r="B131" s="36"/>
      <c r="C131" s="36"/>
      <c r="D131" s="36"/>
      <c r="E131" s="36"/>
      <c r="F131" s="37"/>
      <c r="G131" s="36"/>
      <c r="H131" s="38"/>
      <c r="I131" s="36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40" t="n">
        <f aca="false">IF(A131="",0,IF(AND(I131="Ativo",OR(H131="",H131&lt;=EOMONTH(DATE(Painel!$C$4,Painel!$C$6,1),0))),F131,0))</f>
        <v>0</v>
      </c>
      <c r="W131" s="41" t="str">
        <f aca="false">IF(OR(V131=0,G131=""),"",DATE(Painel!$C$4,Painel!$C$6,MIN(G131,DAY(EOMONTH(DATE(Painel!$C$4,Painel!$C$6,1),0)))))</f>
        <v/>
      </c>
      <c r="X131" s="41" t="str">
        <f aca="false">IF(A131="","",IF(INDEX(J131:U131,Painel!$C$6)="","",INDEX(J131:U131,Painel!$C$6)))</f>
        <v/>
      </c>
      <c r="Y131" s="42" t="str">
        <f aca="true">IF(A131="","",IF(I131&lt;&gt;"Ativo","Inativo",IF(V131=0,"Sem cobrança",IF(X131&lt;&gt;"",IF(AND(W131&lt;&gt;"",X131&gt;W131),"Pago com atraso","Pago"),IF(W131="","Sem vencimento",IF(TODAY()&gt;W131,"Em atraso","A vencer"))))))</f>
        <v/>
      </c>
      <c r="Z131" s="43" t="str">
        <f aca="true">IF(Y131="Em atraso",TODAY()-W131,"")</f>
        <v/>
      </c>
      <c r="AA131" s="42" t="str">
        <f aca="false">IF(Y131="Em atraso",COUNTIF($Y$5:Y131,"Em atraso"),"")</f>
        <v/>
      </c>
    </row>
    <row r="132" customFormat="false" ht="15" hidden="false" customHeight="false" outlineLevel="0" collapsed="false">
      <c r="A132" s="36"/>
      <c r="B132" s="36"/>
      <c r="C132" s="36"/>
      <c r="D132" s="36"/>
      <c r="E132" s="36"/>
      <c r="F132" s="37"/>
      <c r="G132" s="36"/>
      <c r="H132" s="38"/>
      <c r="I132" s="36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 t="n">
        <f aca="false">IF(A132="",0,IF(AND(I132="Ativo",OR(H132="",H132&lt;=EOMONTH(DATE(Painel!$C$4,Painel!$C$6,1),0))),F132,0))</f>
        <v>0</v>
      </c>
      <c r="W132" s="41" t="str">
        <f aca="false">IF(OR(V132=0,G132=""),"",DATE(Painel!$C$4,Painel!$C$6,MIN(G132,DAY(EOMONTH(DATE(Painel!$C$4,Painel!$C$6,1),0)))))</f>
        <v/>
      </c>
      <c r="X132" s="41" t="str">
        <f aca="false">IF(A132="","",IF(INDEX(J132:U132,Painel!$C$6)="","",INDEX(J132:U132,Painel!$C$6)))</f>
        <v/>
      </c>
      <c r="Y132" s="42" t="str">
        <f aca="true">IF(A132="","",IF(I132&lt;&gt;"Ativo","Inativo",IF(V132=0,"Sem cobrança",IF(X132&lt;&gt;"",IF(AND(W132&lt;&gt;"",X132&gt;W132),"Pago com atraso","Pago"),IF(W132="","Sem vencimento",IF(TODAY()&gt;W132,"Em atraso","A vencer"))))))</f>
        <v/>
      </c>
      <c r="Z132" s="43" t="str">
        <f aca="true">IF(Y132="Em atraso",TODAY()-W132,"")</f>
        <v/>
      </c>
      <c r="AA132" s="42" t="str">
        <f aca="false">IF(Y132="Em atraso",COUNTIF($Y$5:Y132,"Em atraso"),"")</f>
        <v/>
      </c>
    </row>
    <row r="133" customFormat="false" ht="15" hidden="false" customHeight="false" outlineLevel="0" collapsed="false">
      <c r="A133" s="36"/>
      <c r="B133" s="36"/>
      <c r="C133" s="36"/>
      <c r="D133" s="36"/>
      <c r="E133" s="36"/>
      <c r="F133" s="37"/>
      <c r="G133" s="36"/>
      <c r="H133" s="38"/>
      <c r="I133" s="36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40" t="n">
        <f aca="false">IF(A133="",0,IF(AND(I133="Ativo",OR(H133="",H133&lt;=EOMONTH(DATE(Painel!$C$4,Painel!$C$6,1),0))),F133,0))</f>
        <v>0</v>
      </c>
      <c r="W133" s="41" t="str">
        <f aca="false">IF(OR(V133=0,G133=""),"",DATE(Painel!$C$4,Painel!$C$6,MIN(G133,DAY(EOMONTH(DATE(Painel!$C$4,Painel!$C$6,1),0)))))</f>
        <v/>
      </c>
      <c r="X133" s="41" t="str">
        <f aca="false">IF(A133="","",IF(INDEX(J133:U133,Painel!$C$6)="","",INDEX(J133:U133,Painel!$C$6)))</f>
        <v/>
      </c>
      <c r="Y133" s="42" t="str">
        <f aca="true">IF(A133="","",IF(I133&lt;&gt;"Ativo","Inativo",IF(V133=0,"Sem cobrança",IF(X133&lt;&gt;"",IF(AND(W133&lt;&gt;"",X133&gt;W133),"Pago com atraso","Pago"),IF(W133="","Sem vencimento",IF(TODAY()&gt;W133,"Em atraso","A vencer"))))))</f>
        <v/>
      </c>
      <c r="Z133" s="43" t="str">
        <f aca="true">IF(Y133="Em atraso",TODAY()-W133,"")</f>
        <v/>
      </c>
      <c r="AA133" s="42" t="str">
        <f aca="false">IF(Y133="Em atraso",COUNTIF($Y$5:Y133,"Em atraso"),"")</f>
        <v/>
      </c>
    </row>
    <row r="134" customFormat="false" ht="15" hidden="false" customHeight="false" outlineLevel="0" collapsed="false">
      <c r="A134" s="36"/>
      <c r="B134" s="36"/>
      <c r="C134" s="36"/>
      <c r="D134" s="36"/>
      <c r="E134" s="36"/>
      <c r="F134" s="37"/>
      <c r="G134" s="36"/>
      <c r="H134" s="38"/>
      <c r="I134" s="36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40" t="n">
        <f aca="false">IF(A134="",0,IF(AND(I134="Ativo",OR(H134="",H134&lt;=EOMONTH(DATE(Painel!$C$4,Painel!$C$6,1),0))),F134,0))</f>
        <v>0</v>
      </c>
      <c r="W134" s="41" t="str">
        <f aca="false">IF(OR(V134=0,G134=""),"",DATE(Painel!$C$4,Painel!$C$6,MIN(G134,DAY(EOMONTH(DATE(Painel!$C$4,Painel!$C$6,1),0)))))</f>
        <v/>
      </c>
      <c r="X134" s="41" t="str">
        <f aca="false">IF(A134="","",IF(INDEX(J134:U134,Painel!$C$6)="","",INDEX(J134:U134,Painel!$C$6)))</f>
        <v/>
      </c>
      <c r="Y134" s="42" t="str">
        <f aca="true">IF(A134="","",IF(I134&lt;&gt;"Ativo","Inativo",IF(V134=0,"Sem cobrança",IF(X134&lt;&gt;"",IF(AND(W134&lt;&gt;"",X134&gt;W134),"Pago com atraso","Pago"),IF(W134="","Sem vencimento",IF(TODAY()&gt;W134,"Em atraso","A vencer"))))))</f>
        <v/>
      </c>
      <c r="Z134" s="43" t="str">
        <f aca="true">IF(Y134="Em atraso",TODAY()-W134,"")</f>
        <v/>
      </c>
      <c r="AA134" s="42" t="str">
        <f aca="false">IF(Y134="Em atraso",COUNTIF($Y$5:Y134,"Em atraso"),"")</f>
        <v/>
      </c>
    </row>
    <row r="135" customFormat="false" ht="15" hidden="false" customHeight="false" outlineLevel="0" collapsed="false">
      <c r="A135" s="36"/>
      <c r="B135" s="36"/>
      <c r="C135" s="36"/>
      <c r="D135" s="36"/>
      <c r="E135" s="36"/>
      <c r="F135" s="37"/>
      <c r="G135" s="36"/>
      <c r="H135" s="38"/>
      <c r="I135" s="36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40" t="n">
        <f aca="false">IF(A135="",0,IF(AND(I135="Ativo",OR(H135="",H135&lt;=EOMONTH(DATE(Painel!$C$4,Painel!$C$6,1),0))),F135,0))</f>
        <v>0</v>
      </c>
      <c r="W135" s="41" t="str">
        <f aca="false">IF(OR(V135=0,G135=""),"",DATE(Painel!$C$4,Painel!$C$6,MIN(G135,DAY(EOMONTH(DATE(Painel!$C$4,Painel!$C$6,1),0)))))</f>
        <v/>
      </c>
      <c r="X135" s="41" t="str">
        <f aca="false">IF(A135="","",IF(INDEX(J135:U135,Painel!$C$6)="","",INDEX(J135:U135,Painel!$C$6)))</f>
        <v/>
      </c>
      <c r="Y135" s="42" t="str">
        <f aca="true">IF(A135="","",IF(I135&lt;&gt;"Ativo","Inativo",IF(V135=0,"Sem cobrança",IF(X135&lt;&gt;"",IF(AND(W135&lt;&gt;"",X135&gt;W135),"Pago com atraso","Pago"),IF(W135="","Sem vencimento",IF(TODAY()&gt;W135,"Em atraso","A vencer"))))))</f>
        <v/>
      </c>
      <c r="Z135" s="43" t="str">
        <f aca="true">IF(Y135="Em atraso",TODAY()-W135,"")</f>
        <v/>
      </c>
      <c r="AA135" s="42" t="str">
        <f aca="false">IF(Y135="Em atraso",COUNTIF($Y$5:Y135,"Em atraso"),"")</f>
        <v/>
      </c>
    </row>
    <row r="136" customFormat="false" ht="15" hidden="false" customHeight="false" outlineLevel="0" collapsed="false">
      <c r="A136" s="36"/>
      <c r="B136" s="36"/>
      <c r="C136" s="36"/>
      <c r="D136" s="36"/>
      <c r="E136" s="36"/>
      <c r="F136" s="37"/>
      <c r="G136" s="36"/>
      <c r="H136" s="38"/>
      <c r="I136" s="36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40" t="n">
        <f aca="false">IF(A136="",0,IF(AND(I136="Ativo",OR(H136="",H136&lt;=EOMONTH(DATE(Painel!$C$4,Painel!$C$6,1),0))),F136,0))</f>
        <v>0</v>
      </c>
      <c r="W136" s="41" t="str">
        <f aca="false">IF(OR(V136=0,G136=""),"",DATE(Painel!$C$4,Painel!$C$6,MIN(G136,DAY(EOMONTH(DATE(Painel!$C$4,Painel!$C$6,1),0)))))</f>
        <v/>
      </c>
      <c r="X136" s="41" t="str">
        <f aca="false">IF(A136="","",IF(INDEX(J136:U136,Painel!$C$6)="","",INDEX(J136:U136,Painel!$C$6)))</f>
        <v/>
      </c>
      <c r="Y136" s="42" t="str">
        <f aca="true">IF(A136="","",IF(I136&lt;&gt;"Ativo","Inativo",IF(V136=0,"Sem cobrança",IF(X136&lt;&gt;"",IF(AND(W136&lt;&gt;"",X136&gt;W136),"Pago com atraso","Pago"),IF(W136="","Sem vencimento",IF(TODAY()&gt;W136,"Em atraso","A vencer"))))))</f>
        <v/>
      </c>
      <c r="Z136" s="43" t="str">
        <f aca="true">IF(Y136="Em atraso",TODAY()-W136,"")</f>
        <v/>
      </c>
      <c r="AA136" s="42" t="str">
        <f aca="false">IF(Y136="Em atraso",COUNTIF($Y$5:Y136,"Em atraso"),"")</f>
        <v/>
      </c>
    </row>
    <row r="137" customFormat="false" ht="15" hidden="false" customHeight="false" outlineLevel="0" collapsed="false">
      <c r="A137" s="36"/>
      <c r="B137" s="36"/>
      <c r="C137" s="36"/>
      <c r="D137" s="36"/>
      <c r="E137" s="36"/>
      <c r="F137" s="37"/>
      <c r="G137" s="36"/>
      <c r="H137" s="38"/>
      <c r="I137" s="36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0" t="n">
        <f aca="false">IF(A137="",0,IF(AND(I137="Ativo",OR(H137="",H137&lt;=EOMONTH(DATE(Painel!$C$4,Painel!$C$6,1),0))),F137,0))</f>
        <v>0</v>
      </c>
      <c r="W137" s="41" t="str">
        <f aca="false">IF(OR(V137=0,G137=""),"",DATE(Painel!$C$4,Painel!$C$6,MIN(G137,DAY(EOMONTH(DATE(Painel!$C$4,Painel!$C$6,1),0)))))</f>
        <v/>
      </c>
      <c r="X137" s="41" t="str">
        <f aca="false">IF(A137="","",IF(INDEX(J137:U137,Painel!$C$6)="","",INDEX(J137:U137,Painel!$C$6)))</f>
        <v/>
      </c>
      <c r="Y137" s="42" t="str">
        <f aca="true">IF(A137="","",IF(I137&lt;&gt;"Ativo","Inativo",IF(V137=0,"Sem cobrança",IF(X137&lt;&gt;"",IF(AND(W137&lt;&gt;"",X137&gt;W137),"Pago com atraso","Pago"),IF(W137="","Sem vencimento",IF(TODAY()&gt;W137,"Em atraso","A vencer"))))))</f>
        <v/>
      </c>
      <c r="Z137" s="43" t="str">
        <f aca="true">IF(Y137="Em atraso",TODAY()-W137,"")</f>
        <v/>
      </c>
      <c r="AA137" s="42" t="str">
        <f aca="false">IF(Y137="Em atraso",COUNTIF($Y$5:Y137,"Em atraso"),"")</f>
        <v/>
      </c>
    </row>
    <row r="138" customFormat="false" ht="15" hidden="false" customHeight="false" outlineLevel="0" collapsed="false">
      <c r="A138" s="36"/>
      <c r="B138" s="36"/>
      <c r="C138" s="36"/>
      <c r="D138" s="36"/>
      <c r="E138" s="36"/>
      <c r="F138" s="37"/>
      <c r="G138" s="36"/>
      <c r="H138" s="38"/>
      <c r="I138" s="36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40" t="n">
        <f aca="false">IF(A138="",0,IF(AND(I138="Ativo",OR(H138="",H138&lt;=EOMONTH(DATE(Painel!$C$4,Painel!$C$6,1),0))),F138,0))</f>
        <v>0</v>
      </c>
      <c r="W138" s="41" t="str">
        <f aca="false">IF(OR(V138=0,G138=""),"",DATE(Painel!$C$4,Painel!$C$6,MIN(G138,DAY(EOMONTH(DATE(Painel!$C$4,Painel!$C$6,1),0)))))</f>
        <v/>
      </c>
      <c r="X138" s="41" t="str">
        <f aca="false">IF(A138="","",IF(INDEX(J138:U138,Painel!$C$6)="","",INDEX(J138:U138,Painel!$C$6)))</f>
        <v/>
      </c>
      <c r="Y138" s="42" t="str">
        <f aca="true">IF(A138="","",IF(I138&lt;&gt;"Ativo","Inativo",IF(V138=0,"Sem cobrança",IF(X138&lt;&gt;"",IF(AND(W138&lt;&gt;"",X138&gt;W138),"Pago com atraso","Pago"),IF(W138="","Sem vencimento",IF(TODAY()&gt;W138,"Em atraso","A vencer"))))))</f>
        <v/>
      </c>
      <c r="Z138" s="43" t="str">
        <f aca="true">IF(Y138="Em atraso",TODAY()-W138,"")</f>
        <v/>
      </c>
      <c r="AA138" s="42" t="str">
        <f aca="false">IF(Y138="Em atraso",COUNTIF($Y$5:Y138,"Em atraso"),"")</f>
        <v/>
      </c>
    </row>
    <row r="139" customFormat="false" ht="15" hidden="false" customHeight="false" outlineLevel="0" collapsed="false">
      <c r="A139" s="36"/>
      <c r="B139" s="36"/>
      <c r="C139" s="36"/>
      <c r="D139" s="36"/>
      <c r="E139" s="36"/>
      <c r="F139" s="37"/>
      <c r="G139" s="36"/>
      <c r="H139" s="38"/>
      <c r="I139" s="36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40" t="n">
        <f aca="false">IF(A139="",0,IF(AND(I139="Ativo",OR(H139="",H139&lt;=EOMONTH(DATE(Painel!$C$4,Painel!$C$6,1),0))),F139,0))</f>
        <v>0</v>
      </c>
      <c r="W139" s="41" t="str">
        <f aca="false">IF(OR(V139=0,G139=""),"",DATE(Painel!$C$4,Painel!$C$6,MIN(G139,DAY(EOMONTH(DATE(Painel!$C$4,Painel!$C$6,1),0)))))</f>
        <v/>
      </c>
      <c r="X139" s="41" t="str">
        <f aca="false">IF(A139="","",IF(INDEX(J139:U139,Painel!$C$6)="","",INDEX(J139:U139,Painel!$C$6)))</f>
        <v/>
      </c>
      <c r="Y139" s="42" t="str">
        <f aca="true">IF(A139="","",IF(I139&lt;&gt;"Ativo","Inativo",IF(V139=0,"Sem cobrança",IF(X139&lt;&gt;"",IF(AND(W139&lt;&gt;"",X139&gt;W139),"Pago com atraso","Pago"),IF(W139="","Sem vencimento",IF(TODAY()&gt;W139,"Em atraso","A vencer"))))))</f>
        <v/>
      </c>
      <c r="Z139" s="43" t="str">
        <f aca="true">IF(Y139="Em atraso",TODAY()-W139,"")</f>
        <v/>
      </c>
      <c r="AA139" s="42" t="str">
        <f aca="false">IF(Y139="Em atraso",COUNTIF($Y$5:Y139,"Em atraso"),"")</f>
        <v/>
      </c>
    </row>
    <row r="140" customFormat="false" ht="15" hidden="false" customHeight="false" outlineLevel="0" collapsed="false">
      <c r="A140" s="36"/>
      <c r="B140" s="36"/>
      <c r="C140" s="36"/>
      <c r="D140" s="36"/>
      <c r="E140" s="36"/>
      <c r="F140" s="37"/>
      <c r="G140" s="36"/>
      <c r="H140" s="38"/>
      <c r="I140" s="36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40" t="n">
        <f aca="false">IF(A140="",0,IF(AND(I140="Ativo",OR(H140="",H140&lt;=EOMONTH(DATE(Painel!$C$4,Painel!$C$6,1),0))),F140,0))</f>
        <v>0</v>
      </c>
      <c r="W140" s="41" t="str">
        <f aca="false">IF(OR(V140=0,G140=""),"",DATE(Painel!$C$4,Painel!$C$6,MIN(G140,DAY(EOMONTH(DATE(Painel!$C$4,Painel!$C$6,1),0)))))</f>
        <v/>
      </c>
      <c r="X140" s="41" t="str">
        <f aca="false">IF(A140="","",IF(INDEX(J140:U140,Painel!$C$6)="","",INDEX(J140:U140,Painel!$C$6)))</f>
        <v/>
      </c>
      <c r="Y140" s="42" t="str">
        <f aca="true">IF(A140="","",IF(I140&lt;&gt;"Ativo","Inativo",IF(V140=0,"Sem cobrança",IF(X140&lt;&gt;"",IF(AND(W140&lt;&gt;"",X140&gt;W140),"Pago com atraso","Pago"),IF(W140="","Sem vencimento",IF(TODAY()&gt;W140,"Em atraso","A vencer"))))))</f>
        <v/>
      </c>
      <c r="Z140" s="43" t="str">
        <f aca="true">IF(Y140="Em atraso",TODAY()-W140,"")</f>
        <v/>
      </c>
      <c r="AA140" s="42" t="str">
        <f aca="false">IF(Y140="Em atraso",COUNTIF($Y$5:Y140,"Em atraso"),"")</f>
        <v/>
      </c>
    </row>
    <row r="141" customFormat="false" ht="15" hidden="false" customHeight="false" outlineLevel="0" collapsed="false">
      <c r="A141" s="36"/>
      <c r="B141" s="36"/>
      <c r="C141" s="36"/>
      <c r="D141" s="36"/>
      <c r="E141" s="36"/>
      <c r="F141" s="37"/>
      <c r="G141" s="36"/>
      <c r="H141" s="38"/>
      <c r="I141" s="36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40" t="n">
        <f aca="false">IF(A141="",0,IF(AND(I141="Ativo",OR(H141="",H141&lt;=EOMONTH(DATE(Painel!$C$4,Painel!$C$6,1),0))),F141,0))</f>
        <v>0</v>
      </c>
      <c r="W141" s="41" t="str">
        <f aca="false">IF(OR(V141=0,G141=""),"",DATE(Painel!$C$4,Painel!$C$6,MIN(G141,DAY(EOMONTH(DATE(Painel!$C$4,Painel!$C$6,1),0)))))</f>
        <v/>
      </c>
      <c r="X141" s="41" t="str">
        <f aca="false">IF(A141="","",IF(INDEX(J141:U141,Painel!$C$6)="","",INDEX(J141:U141,Painel!$C$6)))</f>
        <v/>
      </c>
      <c r="Y141" s="42" t="str">
        <f aca="true">IF(A141="","",IF(I141&lt;&gt;"Ativo","Inativo",IF(V141=0,"Sem cobrança",IF(X141&lt;&gt;"",IF(AND(W141&lt;&gt;"",X141&gt;W141),"Pago com atraso","Pago"),IF(W141="","Sem vencimento",IF(TODAY()&gt;W141,"Em atraso","A vencer"))))))</f>
        <v/>
      </c>
      <c r="Z141" s="43" t="str">
        <f aca="true">IF(Y141="Em atraso",TODAY()-W141,"")</f>
        <v/>
      </c>
      <c r="AA141" s="42" t="str">
        <f aca="false">IF(Y141="Em atraso",COUNTIF($Y$5:Y141,"Em atraso"),"")</f>
        <v/>
      </c>
    </row>
    <row r="142" customFormat="false" ht="15" hidden="false" customHeight="false" outlineLevel="0" collapsed="false">
      <c r="A142" s="36"/>
      <c r="B142" s="36"/>
      <c r="C142" s="36"/>
      <c r="D142" s="36"/>
      <c r="E142" s="36"/>
      <c r="F142" s="37"/>
      <c r="G142" s="36"/>
      <c r="H142" s="38"/>
      <c r="I142" s="36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0" t="n">
        <f aca="false">IF(A142="",0,IF(AND(I142="Ativo",OR(H142="",H142&lt;=EOMONTH(DATE(Painel!$C$4,Painel!$C$6,1),0))),F142,0))</f>
        <v>0</v>
      </c>
      <c r="W142" s="41" t="str">
        <f aca="false">IF(OR(V142=0,G142=""),"",DATE(Painel!$C$4,Painel!$C$6,MIN(G142,DAY(EOMONTH(DATE(Painel!$C$4,Painel!$C$6,1),0)))))</f>
        <v/>
      </c>
      <c r="X142" s="41" t="str">
        <f aca="false">IF(A142="","",IF(INDEX(J142:U142,Painel!$C$6)="","",INDEX(J142:U142,Painel!$C$6)))</f>
        <v/>
      </c>
      <c r="Y142" s="42" t="str">
        <f aca="true">IF(A142="","",IF(I142&lt;&gt;"Ativo","Inativo",IF(V142=0,"Sem cobrança",IF(X142&lt;&gt;"",IF(AND(W142&lt;&gt;"",X142&gt;W142),"Pago com atraso","Pago"),IF(W142="","Sem vencimento",IF(TODAY()&gt;W142,"Em atraso","A vencer"))))))</f>
        <v/>
      </c>
      <c r="Z142" s="43" t="str">
        <f aca="true">IF(Y142="Em atraso",TODAY()-W142,"")</f>
        <v/>
      </c>
      <c r="AA142" s="42" t="str">
        <f aca="false">IF(Y142="Em atraso",COUNTIF($Y$5:Y142,"Em atraso"),"")</f>
        <v/>
      </c>
    </row>
    <row r="143" customFormat="false" ht="15" hidden="false" customHeight="false" outlineLevel="0" collapsed="false">
      <c r="A143" s="36"/>
      <c r="B143" s="36"/>
      <c r="C143" s="36"/>
      <c r="D143" s="36"/>
      <c r="E143" s="36"/>
      <c r="F143" s="37"/>
      <c r="G143" s="36"/>
      <c r="H143" s="38"/>
      <c r="I143" s="36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40" t="n">
        <f aca="false">IF(A143="",0,IF(AND(I143="Ativo",OR(H143="",H143&lt;=EOMONTH(DATE(Painel!$C$4,Painel!$C$6,1),0))),F143,0))</f>
        <v>0</v>
      </c>
      <c r="W143" s="41" t="str">
        <f aca="false">IF(OR(V143=0,G143=""),"",DATE(Painel!$C$4,Painel!$C$6,MIN(G143,DAY(EOMONTH(DATE(Painel!$C$4,Painel!$C$6,1),0)))))</f>
        <v/>
      </c>
      <c r="X143" s="41" t="str">
        <f aca="false">IF(A143="","",IF(INDEX(J143:U143,Painel!$C$6)="","",INDEX(J143:U143,Painel!$C$6)))</f>
        <v/>
      </c>
      <c r="Y143" s="42" t="str">
        <f aca="true">IF(A143="","",IF(I143&lt;&gt;"Ativo","Inativo",IF(V143=0,"Sem cobrança",IF(X143&lt;&gt;"",IF(AND(W143&lt;&gt;"",X143&gt;W143),"Pago com atraso","Pago"),IF(W143="","Sem vencimento",IF(TODAY()&gt;W143,"Em atraso","A vencer"))))))</f>
        <v/>
      </c>
      <c r="Z143" s="43" t="str">
        <f aca="true">IF(Y143="Em atraso",TODAY()-W143,"")</f>
        <v/>
      </c>
      <c r="AA143" s="42" t="str">
        <f aca="false">IF(Y143="Em atraso",COUNTIF($Y$5:Y143,"Em atraso"),"")</f>
        <v/>
      </c>
    </row>
    <row r="144" customFormat="false" ht="15" hidden="false" customHeight="false" outlineLevel="0" collapsed="false">
      <c r="A144" s="36"/>
      <c r="B144" s="36"/>
      <c r="C144" s="36"/>
      <c r="D144" s="36"/>
      <c r="E144" s="36"/>
      <c r="F144" s="37"/>
      <c r="G144" s="36"/>
      <c r="H144" s="38"/>
      <c r="I144" s="36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40" t="n">
        <f aca="false">IF(A144="",0,IF(AND(I144="Ativo",OR(H144="",H144&lt;=EOMONTH(DATE(Painel!$C$4,Painel!$C$6,1),0))),F144,0))</f>
        <v>0</v>
      </c>
      <c r="W144" s="41" t="str">
        <f aca="false">IF(OR(V144=0,G144=""),"",DATE(Painel!$C$4,Painel!$C$6,MIN(G144,DAY(EOMONTH(DATE(Painel!$C$4,Painel!$C$6,1),0)))))</f>
        <v/>
      </c>
      <c r="X144" s="41" t="str">
        <f aca="false">IF(A144="","",IF(INDEX(J144:U144,Painel!$C$6)="","",INDEX(J144:U144,Painel!$C$6)))</f>
        <v/>
      </c>
      <c r="Y144" s="42" t="str">
        <f aca="true">IF(A144="","",IF(I144&lt;&gt;"Ativo","Inativo",IF(V144=0,"Sem cobrança",IF(X144&lt;&gt;"",IF(AND(W144&lt;&gt;"",X144&gt;W144),"Pago com atraso","Pago"),IF(W144="","Sem vencimento",IF(TODAY()&gt;W144,"Em atraso","A vencer"))))))</f>
        <v/>
      </c>
      <c r="Z144" s="43" t="str">
        <f aca="true">IF(Y144="Em atraso",TODAY()-W144,"")</f>
        <v/>
      </c>
      <c r="AA144" s="42" t="str">
        <f aca="false">IF(Y144="Em atraso",COUNTIF($Y$5:Y144,"Em atraso"),"")</f>
        <v/>
      </c>
    </row>
    <row r="145" customFormat="false" ht="15" hidden="false" customHeight="false" outlineLevel="0" collapsed="false">
      <c r="A145" s="36"/>
      <c r="B145" s="36"/>
      <c r="C145" s="36"/>
      <c r="D145" s="36"/>
      <c r="E145" s="36"/>
      <c r="F145" s="37"/>
      <c r="G145" s="36"/>
      <c r="H145" s="38"/>
      <c r="I145" s="36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40" t="n">
        <f aca="false">IF(A145="",0,IF(AND(I145="Ativo",OR(H145="",H145&lt;=EOMONTH(DATE(Painel!$C$4,Painel!$C$6,1),0))),F145,0))</f>
        <v>0</v>
      </c>
      <c r="W145" s="41" t="str">
        <f aca="false">IF(OR(V145=0,G145=""),"",DATE(Painel!$C$4,Painel!$C$6,MIN(G145,DAY(EOMONTH(DATE(Painel!$C$4,Painel!$C$6,1),0)))))</f>
        <v/>
      </c>
      <c r="X145" s="41" t="str">
        <f aca="false">IF(A145="","",IF(INDEX(J145:U145,Painel!$C$6)="","",INDEX(J145:U145,Painel!$C$6)))</f>
        <v/>
      </c>
      <c r="Y145" s="42" t="str">
        <f aca="true">IF(A145="","",IF(I145&lt;&gt;"Ativo","Inativo",IF(V145=0,"Sem cobrança",IF(X145&lt;&gt;"",IF(AND(W145&lt;&gt;"",X145&gt;W145),"Pago com atraso","Pago"),IF(W145="","Sem vencimento",IF(TODAY()&gt;W145,"Em atraso","A vencer"))))))</f>
        <v/>
      </c>
      <c r="Z145" s="43" t="str">
        <f aca="true">IF(Y145="Em atraso",TODAY()-W145,"")</f>
        <v/>
      </c>
      <c r="AA145" s="42" t="str">
        <f aca="false">IF(Y145="Em atraso",COUNTIF($Y$5:Y145,"Em atraso"),"")</f>
        <v/>
      </c>
    </row>
    <row r="146" customFormat="false" ht="15" hidden="false" customHeight="false" outlineLevel="0" collapsed="false">
      <c r="A146" s="36"/>
      <c r="B146" s="36"/>
      <c r="C146" s="36"/>
      <c r="D146" s="36"/>
      <c r="E146" s="36"/>
      <c r="F146" s="37"/>
      <c r="G146" s="36"/>
      <c r="H146" s="38"/>
      <c r="I146" s="36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40" t="n">
        <f aca="false">IF(A146="",0,IF(AND(I146="Ativo",OR(H146="",H146&lt;=EOMONTH(DATE(Painel!$C$4,Painel!$C$6,1),0))),F146,0))</f>
        <v>0</v>
      </c>
      <c r="W146" s="41" t="str">
        <f aca="false">IF(OR(V146=0,G146=""),"",DATE(Painel!$C$4,Painel!$C$6,MIN(G146,DAY(EOMONTH(DATE(Painel!$C$4,Painel!$C$6,1),0)))))</f>
        <v/>
      </c>
      <c r="X146" s="41" t="str">
        <f aca="false">IF(A146="","",IF(INDEX(J146:U146,Painel!$C$6)="","",INDEX(J146:U146,Painel!$C$6)))</f>
        <v/>
      </c>
      <c r="Y146" s="42" t="str">
        <f aca="true">IF(A146="","",IF(I146&lt;&gt;"Ativo","Inativo",IF(V146=0,"Sem cobrança",IF(X146&lt;&gt;"",IF(AND(W146&lt;&gt;"",X146&gt;W146),"Pago com atraso","Pago"),IF(W146="","Sem vencimento",IF(TODAY()&gt;W146,"Em atraso","A vencer"))))))</f>
        <v/>
      </c>
      <c r="Z146" s="43" t="str">
        <f aca="true">IF(Y146="Em atraso",TODAY()-W146,"")</f>
        <v/>
      </c>
      <c r="AA146" s="42" t="str">
        <f aca="false">IF(Y146="Em atraso",COUNTIF($Y$5:Y146,"Em atraso"),"")</f>
        <v/>
      </c>
    </row>
    <row r="147" customFormat="false" ht="15" hidden="false" customHeight="false" outlineLevel="0" collapsed="false">
      <c r="A147" s="36"/>
      <c r="B147" s="36"/>
      <c r="C147" s="36"/>
      <c r="D147" s="36"/>
      <c r="E147" s="36"/>
      <c r="F147" s="37"/>
      <c r="G147" s="36"/>
      <c r="H147" s="38"/>
      <c r="I147" s="36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 t="n">
        <f aca="false">IF(A147="",0,IF(AND(I147="Ativo",OR(H147="",H147&lt;=EOMONTH(DATE(Painel!$C$4,Painel!$C$6,1),0))),F147,0))</f>
        <v>0</v>
      </c>
      <c r="W147" s="41" t="str">
        <f aca="false">IF(OR(V147=0,G147=""),"",DATE(Painel!$C$4,Painel!$C$6,MIN(G147,DAY(EOMONTH(DATE(Painel!$C$4,Painel!$C$6,1),0)))))</f>
        <v/>
      </c>
      <c r="X147" s="41" t="str">
        <f aca="false">IF(A147="","",IF(INDEX(J147:U147,Painel!$C$6)="","",INDEX(J147:U147,Painel!$C$6)))</f>
        <v/>
      </c>
      <c r="Y147" s="42" t="str">
        <f aca="true">IF(A147="","",IF(I147&lt;&gt;"Ativo","Inativo",IF(V147=0,"Sem cobrança",IF(X147&lt;&gt;"",IF(AND(W147&lt;&gt;"",X147&gt;W147),"Pago com atraso","Pago"),IF(W147="","Sem vencimento",IF(TODAY()&gt;W147,"Em atraso","A vencer"))))))</f>
        <v/>
      </c>
      <c r="Z147" s="43" t="str">
        <f aca="true">IF(Y147="Em atraso",TODAY()-W147,"")</f>
        <v/>
      </c>
      <c r="AA147" s="42" t="str">
        <f aca="false">IF(Y147="Em atraso",COUNTIF($Y$5:Y147,"Em atraso"),"")</f>
        <v/>
      </c>
    </row>
    <row r="148" customFormat="false" ht="15" hidden="false" customHeight="false" outlineLevel="0" collapsed="false">
      <c r="A148" s="36"/>
      <c r="B148" s="36"/>
      <c r="C148" s="36"/>
      <c r="D148" s="36"/>
      <c r="E148" s="36"/>
      <c r="F148" s="37"/>
      <c r="G148" s="36"/>
      <c r="H148" s="38"/>
      <c r="I148" s="36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40" t="n">
        <f aca="false">IF(A148="",0,IF(AND(I148="Ativo",OR(H148="",H148&lt;=EOMONTH(DATE(Painel!$C$4,Painel!$C$6,1),0))),F148,0))</f>
        <v>0</v>
      </c>
      <c r="W148" s="41" t="str">
        <f aca="false">IF(OR(V148=0,G148=""),"",DATE(Painel!$C$4,Painel!$C$6,MIN(G148,DAY(EOMONTH(DATE(Painel!$C$4,Painel!$C$6,1),0)))))</f>
        <v/>
      </c>
      <c r="X148" s="41" t="str">
        <f aca="false">IF(A148="","",IF(INDEX(J148:U148,Painel!$C$6)="","",INDEX(J148:U148,Painel!$C$6)))</f>
        <v/>
      </c>
      <c r="Y148" s="42" t="str">
        <f aca="true">IF(A148="","",IF(I148&lt;&gt;"Ativo","Inativo",IF(V148=0,"Sem cobrança",IF(X148&lt;&gt;"",IF(AND(W148&lt;&gt;"",X148&gt;W148),"Pago com atraso","Pago"),IF(W148="","Sem vencimento",IF(TODAY()&gt;W148,"Em atraso","A vencer"))))))</f>
        <v/>
      </c>
      <c r="Z148" s="43" t="str">
        <f aca="true">IF(Y148="Em atraso",TODAY()-W148,"")</f>
        <v/>
      </c>
      <c r="AA148" s="42" t="str">
        <f aca="false">IF(Y148="Em atraso",COUNTIF($Y$5:Y148,"Em atraso"),"")</f>
        <v/>
      </c>
    </row>
    <row r="149" customFormat="false" ht="15" hidden="false" customHeight="false" outlineLevel="0" collapsed="false">
      <c r="A149" s="36"/>
      <c r="B149" s="36"/>
      <c r="C149" s="36"/>
      <c r="D149" s="36"/>
      <c r="E149" s="36"/>
      <c r="F149" s="37"/>
      <c r="G149" s="36"/>
      <c r="H149" s="38"/>
      <c r="I149" s="36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40" t="n">
        <f aca="false">IF(A149="",0,IF(AND(I149="Ativo",OR(H149="",H149&lt;=EOMONTH(DATE(Painel!$C$4,Painel!$C$6,1),0))),F149,0))</f>
        <v>0</v>
      </c>
      <c r="W149" s="41" t="str">
        <f aca="false">IF(OR(V149=0,G149=""),"",DATE(Painel!$C$4,Painel!$C$6,MIN(G149,DAY(EOMONTH(DATE(Painel!$C$4,Painel!$C$6,1),0)))))</f>
        <v/>
      </c>
      <c r="X149" s="41" t="str">
        <f aca="false">IF(A149="","",IF(INDEX(J149:U149,Painel!$C$6)="","",INDEX(J149:U149,Painel!$C$6)))</f>
        <v/>
      </c>
      <c r="Y149" s="42" t="str">
        <f aca="true">IF(A149="","",IF(I149&lt;&gt;"Ativo","Inativo",IF(V149=0,"Sem cobrança",IF(X149&lt;&gt;"",IF(AND(W149&lt;&gt;"",X149&gt;W149),"Pago com atraso","Pago"),IF(W149="","Sem vencimento",IF(TODAY()&gt;W149,"Em atraso","A vencer"))))))</f>
        <v/>
      </c>
      <c r="Z149" s="43" t="str">
        <f aca="true">IF(Y149="Em atraso",TODAY()-W149,"")</f>
        <v/>
      </c>
      <c r="AA149" s="42" t="str">
        <f aca="false">IF(Y149="Em atraso",COUNTIF($Y$5:Y149,"Em atraso"),"")</f>
        <v/>
      </c>
    </row>
    <row r="150" customFormat="false" ht="15" hidden="false" customHeight="false" outlineLevel="0" collapsed="false">
      <c r="A150" s="36"/>
      <c r="B150" s="36"/>
      <c r="C150" s="36"/>
      <c r="D150" s="36"/>
      <c r="E150" s="36"/>
      <c r="F150" s="37"/>
      <c r="G150" s="36"/>
      <c r="H150" s="38"/>
      <c r="I150" s="36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0" t="n">
        <f aca="false">IF(A150="",0,IF(AND(I150="Ativo",OR(H150="",H150&lt;=EOMONTH(DATE(Painel!$C$4,Painel!$C$6,1),0))),F150,0))</f>
        <v>0</v>
      </c>
      <c r="W150" s="41" t="str">
        <f aca="false">IF(OR(V150=0,G150=""),"",DATE(Painel!$C$4,Painel!$C$6,MIN(G150,DAY(EOMONTH(DATE(Painel!$C$4,Painel!$C$6,1),0)))))</f>
        <v/>
      </c>
      <c r="X150" s="41" t="str">
        <f aca="false">IF(A150="","",IF(INDEX(J150:U150,Painel!$C$6)="","",INDEX(J150:U150,Painel!$C$6)))</f>
        <v/>
      </c>
      <c r="Y150" s="42" t="str">
        <f aca="true">IF(A150="","",IF(I150&lt;&gt;"Ativo","Inativo",IF(V150=0,"Sem cobrança",IF(X150&lt;&gt;"",IF(AND(W150&lt;&gt;"",X150&gt;W150),"Pago com atraso","Pago"),IF(W150="","Sem vencimento",IF(TODAY()&gt;W150,"Em atraso","A vencer"))))))</f>
        <v/>
      </c>
      <c r="Z150" s="43" t="str">
        <f aca="true">IF(Y150="Em atraso",TODAY()-W150,"")</f>
        <v/>
      </c>
      <c r="AA150" s="42" t="str">
        <f aca="false">IF(Y150="Em atraso",COUNTIF($Y$5:Y150,"Em atraso"),"")</f>
        <v/>
      </c>
    </row>
    <row r="151" customFormat="false" ht="15" hidden="false" customHeight="false" outlineLevel="0" collapsed="false">
      <c r="A151" s="36"/>
      <c r="B151" s="36"/>
      <c r="C151" s="36"/>
      <c r="D151" s="36"/>
      <c r="E151" s="36"/>
      <c r="F151" s="37"/>
      <c r="G151" s="36"/>
      <c r="H151" s="38"/>
      <c r="I151" s="36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40" t="n">
        <f aca="false">IF(A151="",0,IF(AND(I151="Ativo",OR(H151="",H151&lt;=EOMONTH(DATE(Painel!$C$4,Painel!$C$6,1),0))),F151,0))</f>
        <v>0</v>
      </c>
      <c r="W151" s="41" t="str">
        <f aca="false">IF(OR(V151=0,G151=""),"",DATE(Painel!$C$4,Painel!$C$6,MIN(G151,DAY(EOMONTH(DATE(Painel!$C$4,Painel!$C$6,1),0)))))</f>
        <v/>
      </c>
      <c r="X151" s="41" t="str">
        <f aca="false">IF(A151="","",IF(INDEX(J151:U151,Painel!$C$6)="","",INDEX(J151:U151,Painel!$C$6)))</f>
        <v/>
      </c>
      <c r="Y151" s="42" t="str">
        <f aca="true">IF(A151="","",IF(I151&lt;&gt;"Ativo","Inativo",IF(V151=0,"Sem cobrança",IF(X151&lt;&gt;"",IF(AND(W151&lt;&gt;"",X151&gt;W151),"Pago com atraso","Pago"),IF(W151="","Sem vencimento",IF(TODAY()&gt;W151,"Em atraso","A vencer"))))))</f>
        <v/>
      </c>
      <c r="Z151" s="43" t="str">
        <f aca="true">IF(Y151="Em atraso",TODAY()-W151,"")</f>
        <v/>
      </c>
      <c r="AA151" s="42" t="str">
        <f aca="false">IF(Y151="Em atraso",COUNTIF($Y$5:Y151,"Em atraso"),"")</f>
        <v/>
      </c>
    </row>
    <row r="152" customFormat="false" ht="15" hidden="false" customHeight="false" outlineLevel="0" collapsed="false">
      <c r="A152" s="36"/>
      <c r="B152" s="36"/>
      <c r="C152" s="36"/>
      <c r="D152" s="36"/>
      <c r="E152" s="36"/>
      <c r="F152" s="37"/>
      <c r="G152" s="36"/>
      <c r="H152" s="38"/>
      <c r="I152" s="36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0" t="n">
        <f aca="false">IF(A152="",0,IF(AND(I152="Ativo",OR(H152="",H152&lt;=EOMONTH(DATE(Painel!$C$4,Painel!$C$6,1),0))),F152,0))</f>
        <v>0</v>
      </c>
      <c r="W152" s="41" t="str">
        <f aca="false">IF(OR(V152=0,G152=""),"",DATE(Painel!$C$4,Painel!$C$6,MIN(G152,DAY(EOMONTH(DATE(Painel!$C$4,Painel!$C$6,1),0)))))</f>
        <v/>
      </c>
      <c r="X152" s="41" t="str">
        <f aca="false">IF(A152="","",IF(INDEX(J152:U152,Painel!$C$6)="","",INDEX(J152:U152,Painel!$C$6)))</f>
        <v/>
      </c>
      <c r="Y152" s="42" t="str">
        <f aca="true">IF(A152="","",IF(I152&lt;&gt;"Ativo","Inativo",IF(V152=0,"Sem cobrança",IF(X152&lt;&gt;"",IF(AND(W152&lt;&gt;"",X152&gt;W152),"Pago com atraso","Pago"),IF(W152="","Sem vencimento",IF(TODAY()&gt;W152,"Em atraso","A vencer"))))))</f>
        <v/>
      </c>
      <c r="Z152" s="43" t="str">
        <f aca="true">IF(Y152="Em atraso",TODAY()-W152,"")</f>
        <v/>
      </c>
      <c r="AA152" s="42" t="str">
        <f aca="false">IF(Y152="Em atraso",COUNTIF($Y$5:Y152,"Em atraso"),"")</f>
        <v/>
      </c>
    </row>
    <row r="153" customFormat="false" ht="15" hidden="false" customHeight="false" outlineLevel="0" collapsed="false">
      <c r="A153" s="36"/>
      <c r="B153" s="36"/>
      <c r="C153" s="36"/>
      <c r="D153" s="36"/>
      <c r="E153" s="36"/>
      <c r="F153" s="37"/>
      <c r="G153" s="36"/>
      <c r="H153" s="38"/>
      <c r="I153" s="36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40" t="n">
        <f aca="false">IF(A153="",0,IF(AND(I153="Ativo",OR(H153="",H153&lt;=EOMONTH(DATE(Painel!$C$4,Painel!$C$6,1),0))),F153,0))</f>
        <v>0</v>
      </c>
      <c r="W153" s="41" t="str">
        <f aca="false">IF(OR(V153=0,G153=""),"",DATE(Painel!$C$4,Painel!$C$6,MIN(G153,DAY(EOMONTH(DATE(Painel!$C$4,Painel!$C$6,1),0)))))</f>
        <v/>
      </c>
      <c r="X153" s="41" t="str">
        <f aca="false">IF(A153="","",IF(INDEX(J153:U153,Painel!$C$6)="","",INDEX(J153:U153,Painel!$C$6)))</f>
        <v/>
      </c>
      <c r="Y153" s="42" t="str">
        <f aca="true">IF(A153="","",IF(I153&lt;&gt;"Ativo","Inativo",IF(V153=0,"Sem cobrança",IF(X153&lt;&gt;"",IF(AND(W153&lt;&gt;"",X153&gt;W153),"Pago com atraso","Pago"),IF(W153="","Sem vencimento",IF(TODAY()&gt;W153,"Em atraso","A vencer"))))))</f>
        <v/>
      </c>
      <c r="Z153" s="43" t="str">
        <f aca="true">IF(Y153="Em atraso",TODAY()-W153,"")</f>
        <v/>
      </c>
      <c r="AA153" s="42" t="str">
        <f aca="false">IF(Y153="Em atraso",COUNTIF($Y$5:Y153,"Em atraso"),"")</f>
        <v/>
      </c>
    </row>
    <row r="154" customFormat="false" ht="15" hidden="false" customHeight="false" outlineLevel="0" collapsed="false">
      <c r="A154" s="36"/>
      <c r="B154" s="36"/>
      <c r="C154" s="36"/>
      <c r="D154" s="36"/>
      <c r="E154" s="36"/>
      <c r="F154" s="37"/>
      <c r="G154" s="36"/>
      <c r="H154" s="38"/>
      <c r="I154" s="36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40" t="n">
        <f aca="false">IF(A154="",0,IF(AND(I154="Ativo",OR(H154="",H154&lt;=EOMONTH(DATE(Painel!$C$4,Painel!$C$6,1),0))),F154,0))</f>
        <v>0</v>
      </c>
      <c r="W154" s="41" t="str">
        <f aca="false">IF(OR(V154=0,G154=""),"",DATE(Painel!$C$4,Painel!$C$6,MIN(G154,DAY(EOMONTH(DATE(Painel!$C$4,Painel!$C$6,1),0)))))</f>
        <v/>
      </c>
      <c r="X154" s="41" t="str">
        <f aca="false">IF(A154="","",IF(INDEX(J154:U154,Painel!$C$6)="","",INDEX(J154:U154,Painel!$C$6)))</f>
        <v/>
      </c>
      <c r="Y154" s="42" t="str">
        <f aca="true">IF(A154="","",IF(I154&lt;&gt;"Ativo","Inativo",IF(V154=0,"Sem cobrança",IF(X154&lt;&gt;"",IF(AND(W154&lt;&gt;"",X154&gt;W154),"Pago com atraso","Pago"),IF(W154="","Sem vencimento",IF(TODAY()&gt;W154,"Em atraso","A vencer"))))))</f>
        <v/>
      </c>
      <c r="Z154" s="43" t="str">
        <f aca="true">IF(Y154="Em atraso",TODAY()-W154,"")</f>
        <v/>
      </c>
      <c r="AA154" s="42" t="str">
        <f aca="false">IF(Y154="Em atraso",COUNTIF($Y$5:Y154,"Em atraso"),"")</f>
        <v/>
      </c>
    </row>
    <row r="155" customFormat="false" ht="15" hidden="false" customHeight="false" outlineLevel="0" collapsed="false">
      <c r="A155" s="36"/>
      <c r="B155" s="36"/>
      <c r="C155" s="36"/>
      <c r="D155" s="36"/>
      <c r="E155" s="36"/>
      <c r="F155" s="37"/>
      <c r="G155" s="36"/>
      <c r="H155" s="38"/>
      <c r="I155" s="36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40" t="n">
        <f aca="false">IF(A155="",0,IF(AND(I155="Ativo",OR(H155="",H155&lt;=EOMONTH(DATE(Painel!$C$4,Painel!$C$6,1),0))),F155,0))</f>
        <v>0</v>
      </c>
      <c r="W155" s="41" t="str">
        <f aca="false">IF(OR(V155=0,G155=""),"",DATE(Painel!$C$4,Painel!$C$6,MIN(G155,DAY(EOMONTH(DATE(Painel!$C$4,Painel!$C$6,1),0)))))</f>
        <v/>
      </c>
      <c r="X155" s="41" t="str">
        <f aca="false">IF(A155="","",IF(INDEX(J155:U155,Painel!$C$6)="","",INDEX(J155:U155,Painel!$C$6)))</f>
        <v/>
      </c>
      <c r="Y155" s="42" t="str">
        <f aca="true">IF(A155="","",IF(I155&lt;&gt;"Ativo","Inativo",IF(V155=0,"Sem cobrança",IF(X155&lt;&gt;"",IF(AND(W155&lt;&gt;"",X155&gt;W155),"Pago com atraso","Pago"),IF(W155="","Sem vencimento",IF(TODAY()&gt;W155,"Em atraso","A vencer"))))))</f>
        <v/>
      </c>
      <c r="Z155" s="43" t="str">
        <f aca="true">IF(Y155="Em atraso",TODAY()-W155,"")</f>
        <v/>
      </c>
      <c r="AA155" s="42" t="str">
        <f aca="false">IF(Y155="Em atraso",COUNTIF($Y$5:Y155,"Em atraso"),"")</f>
        <v/>
      </c>
    </row>
    <row r="156" customFormat="false" ht="15" hidden="false" customHeight="false" outlineLevel="0" collapsed="false">
      <c r="A156" s="36"/>
      <c r="B156" s="36"/>
      <c r="C156" s="36"/>
      <c r="D156" s="36"/>
      <c r="E156" s="36"/>
      <c r="F156" s="37"/>
      <c r="G156" s="36"/>
      <c r="H156" s="38"/>
      <c r="I156" s="36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40" t="n">
        <f aca="false">IF(A156="",0,IF(AND(I156="Ativo",OR(H156="",H156&lt;=EOMONTH(DATE(Painel!$C$4,Painel!$C$6,1),0))),F156,0))</f>
        <v>0</v>
      </c>
      <c r="W156" s="41" t="str">
        <f aca="false">IF(OR(V156=0,G156=""),"",DATE(Painel!$C$4,Painel!$C$6,MIN(G156,DAY(EOMONTH(DATE(Painel!$C$4,Painel!$C$6,1),0)))))</f>
        <v/>
      </c>
      <c r="X156" s="41" t="str">
        <f aca="false">IF(A156="","",IF(INDEX(J156:U156,Painel!$C$6)="","",INDEX(J156:U156,Painel!$C$6)))</f>
        <v/>
      </c>
      <c r="Y156" s="42" t="str">
        <f aca="true">IF(A156="","",IF(I156&lt;&gt;"Ativo","Inativo",IF(V156=0,"Sem cobrança",IF(X156&lt;&gt;"",IF(AND(W156&lt;&gt;"",X156&gt;W156),"Pago com atraso","Pago"),IF(W156="","Sem vencimento",IF(TODAY()&gt;W156,"Em atraso","A vencer"))))))</f>
        <v/>
      </c>
      <c r="Z156" s="43" t="str">
        <f aca="true">IF(Y156="Em atraso",TODAY()-W156,"")</f>
        <v/>
      </c>
      <c r="AA156" s="42" t="str">
        <f aca="false">IF(Y156="Em atraso",COUNTIF($Y$5:Y156,"Em atraso"),"")</f>
        <v/>
      </c>
    </row>
    <row r="157" customFormat="false" ht="15" hidden="false" customHeight="false" outlineLevel="0" collapsed="false">
      <c r="A157" s="36"/>
      <c r="B157" s="36"/>
      <c r="C157" s="36"/>
      <c r="D157" s="36"/>
      <c r="E157" s="36"/>
      <c r="F157" s="37"/>
      <c r="G157" s="36"/>
      <c r="H157" s="38"/>
      <c r="I157" s="36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0" t="n">
        <f aca="false">IF(A157="",0,IF(AND(I157="Ativo",OR(H157="",H157&lt;=EOMONTH(DATE(Painel!$C$4,Painel!$C$6,1),0))),F157,0))</f>
        <v>0</v>
      </c>
      <c r="W157" s="41" t="str">
        <f aca="false">IF(OR(V157=0,G157=""),"",DATE(Painel!$C$4,Painel!$C$6,MIN(G157,DAY(EOMONTH(DATE(Painel!$C$4,Painel!$C$6,1),0)))))</f>
        <v/>
      </c>
      <c r="X157" s="41" t="str">
        <f aca="false">IF(A157="","",IF(INDEX(J157:U157,Painel!$C$6)="","",INDEX(J157:U157,Painel!$C$6)))</f>
        <v/>
      </c>
      <c r="Y157" s="42" t="str">
        <f aca="true">IF(A157="","",IF(I157&lt;&gt;"Ativo","Inativo",IF(V157=0,"Sem cobrança",IF(X157&lt;&gt;"",IF(AND(W157&lt;&gt;"",X157&gt;W157),"Pago com atraso","Pago"),IF(W157="","Sem vencimento",IF(TODAY()&gt;W157,"Em atraso","A vencer"))))))</f>
        <v/>
      </c>
      <c r="Z157" s="43" t="str">
        <f aca="true">IF(Y157="Em atraso",TODAY()-W157,"")</f>
        <v/>
      </c>
      <c r="AA157" s="42" t="str">
        <f aca="false">IF(Y157="Em atraso",COUNTIF($Y$5:Y157,"Em atraso"),"")</f>
        <v/>
      </c>
    </row>
    <row r="158" customFormat="false" ht="15" hidden="false" customHeight="false" outlineLevel="0" collapsed="false">
      <c r="A158" s="36"/>
      <c r="B158" s="36"/>
      <c r="C158" s="36"/>
      <c r="D158" s="36"/>
      <c r="E158" s="36"/>
      <c r="F158" s="37"/>
      <c r="G158" s="36"/>
      <c r="H158" s="38"/>
      <c r="I158" s="36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40" t="n">
        <f aca="false">IF(A158="",0,IF(AND(I158="Ativo",OR(H158="",H158&lt;=EOMONTH(DATE(Painel!$C$4,Painel!$C$6,1),0))),F158,0))</f>
        <v>0</v>
      </c>
      <c r="W158" s="41" t="str">
        <f aca="false">IF(OR(V158=0,G158=""),"",DATE(Painel!$C$4,Painel!$C$6,MIN(G158,DAY(EOMONTH(DATE(Painel!$C$4,Painel!$C$6,1),0)))))</f>
        <v/>
      </c>
      <c r="X158" s="41" t="str">
        <f aca="false">IF(A158="","",IF(INDEX(J158:U158,Painel!$C$6)="","",INDEX(J158:U158,Painel!$C$6)))</f>
        <v/>
      </c>
      <c r="Y158" s="42" t="str">
        <f aca="true">IF(A158="","",IF(I158&lt;&gt;"Ativo","Inativo",IF(V158=0,"Sem cobrança",IF(X158&lt;&gt;"",IF(AND(W158&lt;&gt;"",X158&gt;W158),"Pago com atraso","Pago"),IF(W158="","Sem vencimento",IF(TODAY()&gt;W158,"Em atraso","A vencer"))))))</f>
        <v/>
      </c>
      <c r="Z158" s="43" t="str">
        <f aca="true">IF(Y158="Em atraso",TODAY()-W158,"")</f>
        <v/>
      </c>
      <c r="AA158" s="42" t="str">
        <f aca="false">IF(Y158="Em atraso",COUNTIF($Y$5:Y158,"Em atraso"),"")</f>
        <v/>
      </c>
    </row>
    <row r="159" customFormat="false" ht="15" hidden="false" customHeight="false" outlineLevel="0" collapsed="false">
      <c r="A159" s="36"/>
      <c r="B159" s="36"/>
      <c r="C159" s="36"/>
      <c r="D159" s="36"/>
      <c r="E159" s="36"/>
      <c r="F159" s="37"/>
      <c r="G159" s="36"/>
      <c r="H159" s="38"/>
      <c r="I159" s="36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40" t="n">
        <f aca="false">IF(A159="",0,IF(AND(I159="Ativo",OR(H159="",H159&lt;=EOMONTH(DATE(Painel!$C$4,Painel!$C$6,1),0))),F159,0))</f>
        <v>0</v>
      </c>
      <c r="W159" s="41" t="str">
        <f aca="false">IF(OR(V159=0,G159=""),"",DATE(Painel!$C$4,Painel!$C$6,MIN(G159,DAY(EOMONTH(DATE(Painel!$C$4,Painel!$C$6,1),0)))))</f>
        <v/>
      </c>
      <c r="X159" s="41" t="str">
        <f aca="false">IF(A159="","",IF(INDEX(J159:U159,Painel!$C$6)="","",INDEX(J159:U159,Painel!$C$6)))</f>
        <v/>
      </c>
      <c r="Y159" s="42" t="str">
        <f aca="true">IF(A159="","",IF(I159&lt;&gt;"Ativo","Inativo",IF(V159=0,"Sem cobrança",IF(X159&lt;&gt;"",IF(AND(W159&lt;&gt;"",X159&gt;W159),"Pago com atraso","Pago"),IF(W159="","Sem vencimento",IF(TODAY()&gt;W159,"Em atraso","A vencer"))))))</f>
        <v/>
      </c>
      <c r="Z159" s="43" t="str">
        <f aca="true">IF(Y159="Em atraso",TODAY()-W159,"")</f>
        <v/>
      </c>
      <c r="AA159" s="42" t="str">
        <f aca="false">IF(Y159="Em atraso",COUNTIF($Y$5:Y159,"Em atraso"),"")</f>
        <v/>
      </c>
    </row>
    <row r="160" customFormat="false" ht="15" hidden="false" customHeight="false" outlineLevel="0" collapsed="false">
      <c r="A160" s="36"/>
      <c r="B160" s="36"/>
      <c r="C160" s="36"/>
      <c r="D160" s="36"/>
      <c r="E160" s="36"/>
      <c r="F160" s="37"/>
      <c r="G160" s="36"/>
      <c r="H160" s="38"/>
      <c r="I160" s="36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40" t="n">
        <f aca="false">IF(A160="",0,IF(AND(I160="Ativo",OR(H160="",H160&lt;=EOMONTH(DATE(Painel!$C$4,Painel!$C$6,1),0))),F160,0))</f>
        <v>0</v>
      </c>
      <c r="W160" s="41" t="str">
        <f aca="false">IF(OR(V160=0,G160=""),"",DATE(Painel!$C$4,Painel!$C$6,MIN(G160,DAY(EOMONTH(DATE(Painel!$C$4,Painel!$C$6,1),0)))))</f>
        <v/>
      </c>
      <c r="X160" s="41" t="str">
        <f aca="false">IF(A160="","",IF(INDEX(J160:U160,Painel!$C$6)="","",INDEX(J160:U160,Painel!$C$6)))</f>
        <v/>
      </c>
      <c r="Y160" s="42" t="str">
        <f aca="true">IF(A160="","",IF(I160&lt;&gt;"Ativo","Inativo",IF(V160=0,"Sem cobrança",IF(X160&lt;&gt;"",IF(AND(W160&lt;&gt;"",X160&gt;W160),"Pago com atraso","Pago"),IF(W160="","Sem vencimento",IF(TODAY()&gt;W160,"Em atraso","A vencer"))))))</f>
        <v/>
      </c>
      <c r="Z160" s="43" t="str">
        <f aca="true">IF(Y160="Em atraso",TODAY()-W160,"")</f>
        <v/>
      </c>
      <c r="AA160" s="42" t="str">
        <f aca="false">IF(Y160="Em atraso",COUNTIF($Y$5:Y160,"Em atraso"),"")</f>
        <v/>
      </c>
    </row>
    <row r="161" customFormat="false" ht="15" hidden="false" customHeight="false" outlineLevel="0" collapsed="false">
      <c r="A161" s="36"/>
      <c r="B161" s="36"/>
      <c r="C161" s="36"/>
      <c r="D161" s="36"/>
      <c r="E161" s="36"/>
      <c r="F161" s="37"/>
      <c r="G161" s="36"/>
      <c r="H161" s="38"/>
      <c r="I161" s="36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40" t="n">
        <f aca="false">IF(A161="",0,IF(AND(I161="Ativo",OR(H161="",H161&lt;=EOMONTH(DATE(Painel!$C$4,Painel!$C$6,1),0))),F161,0))</f>
        <v>0</v>
      </c>
      <c r="W161" s="41" t="str">
        <f aca="false">IF(OR(V161=0,G161=""),"",DATE(Painel!$C$4,Painel!$C$6,MIN(G161,DAY(EOMONTH(DATE(Painel!$C$4,Painel!$C$6,1),0)))))</f>
        <v/>
      </c>
      <c r="X161" s="41" t="str">
        <f aca="false">IF(A161="","",IF(INDEX(J161:U161,Painel!$C$6)="","",INDEX(J161:U161,Painel!$C$6)))</f>
        <v/>
      </c>
      <c r="Y161" s="42" t="str">
        <f aca="true">IF(A161="","",IF(I161&lt;&gt;"Ativo","Inativo",IF(V161=0,"Sem cobrança",IF(X161&lt;&gt;"",IF(AND(W161&lt;&gt;"",X161&gt;W161),"Pago com atraso","Pago"),IF(W161="","Sem vencimento",IF(TODAY()&gt;W161,"Em atraso","A vencer"))))))</f>
        <v/>
      </c>
      <c r="Z161" s="43" t="str">
        <f aca="true">IF(Y161="Em atraso",TODAY()-W161,"")</f>
        <v/>
      </c>
      <c r="AA161" s="42" t="str">
        <f aca="false">IF(Y161="Em atraso",COUNTIF($Y$5:Y161,"Em atraso"),"")</f>
        <v/>
      </c>
    </row>
    <row r="162" customFormat="false" ht="15" hidden="false" customHeight="false" outlineLevel="0" collapsed="false">
      <c r="A162" s="36"/>
      <c r="B162" s="36"/>
      <c r="C162" s="36"/>
      <c r="D162" s="36"/>
      <c r="E162" s="36"/>
      <c r="F162" s="37"/>
      <c r="G162" s="36"/>
      <c r="H162" s="38"/>
      <c r="I162" s="36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0" t="n">
        <f aca="false">IF(A162="",0,IF(AND(I162="Ativo",OR(H162="",H162&lt;=EOMONTH(DATE(Painel!$C$4,Painel!$C$6,1),0))),F162,0))</f>
        <v>0</v>
      </c>
      <c r="W162" s="41" t="str">
        <f aca="false">IF(OR(V162=0,G162=""),"",DATE(Painel!$C$4,Painel!$C$6,MIN(G162,DAY(EOMONTH(DATE(Painel!$C$4,Painel!$C$6,1),0)))))</f>
        <v/>
      </c>
      <c r="X162" s="41" t="str">
        <f aca="false">IF(A162="","",IF(INDEX(J162:U162,Painel!$C$6)="","",INDEX(J162:U162,Painel!$C$6)))</f>
        <v/>
      </c>
      <c r="Y162" s="42" t="str">
        <f aca="true">IF(A162="","",IF(I162&lt;&gt;"Ativo","Inativo",IF(V162=0,"Sem cobrança",IF(X162&lt;&gt;"",IF(AND(W162&lt;&gt;"",X162&gt;W162),"Pago com atraso","Pago"),IF(W162="","Sem vencimento",IF(TODAY()&gt;W162,"Em atraso","A vencer"))))))</f>
        <v/>
      </c>
      <c r="Z162" s="43" t="str">
        <f aca="true">IF(Y162="Em atraso",TODAY()-W162,"")</f>
        <v/>
      </c>
      <c r="AA162" s="42" t="str">
        <f aca="false">IF(Y162="Em atraso",COUNTIF($Y$5:Y162,"Em atraso"),"")</f>
        <v/>
      </c>
    </row>
    <row r="163" customFormat="false" ht="15" hidden="false" customHeight="false" outlineLevel="0" collapsed="false">
      <c r="A163" s="36"/>
      <c r="B163" s="36"/>
      <c r="C163" s="36"/>
      <c r="D163" s="36"/>
      <c r="E163" s="36"/>
      <c r="F163" s="37"/>
      <c r="G163" s="36"/>
      <c r="H163" s="38"/>
      <c r="I163" s="36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40" t="n">
        <f aca="false">IF(A163="",0,IF(AND(I163="Ativo",OR(H163="",H163&lt;=EOMONTH(DATE(Painel!$C$4,Painel!$C$6,1),0))),F163,0))</f>
        <v>0</v>
      </c>
      <c r="W163" s="41" t="str">
        <f aca="false">IF(OR(V163=0,G163=""),"",DATE(Painel!$C$4,Painel!$C$6,MIN(G163,DAY(EOMONTH(DATE(Painel!$C$4,Painel!$C$6,1),0)))))</f>
        <v/>
      </c>
      <c r="X163" s="41" t="str">
        <f aca="false">IF(A163="","",IF(INDEX(J163:U163,Painel!$C$6)="","",INDEX(J163:U163,Painel!$C$6)))</f>
        <v/>
      </c>
      <c r="Y163" s="42" t="str">
        <f aca="true">IF(A163="","",IF(I163&lt;&gt;"Ativo","Inativo",IF(V163=0,"Sem cobrança",IF(X163&lt;&gt;"",IF(AND(W163&lt;&gt;"",X163&gt;W163),"Pago com atraso","Pago"),IF(W163="","Sem vencimento",IF(TODAY()&gt;W163,"Em atraso","A vencer"))))))</f>
        <v/>
      </c>
      <c r="Z163" s="43" t="str">
        <f aca="true">IF(Y163="Em atraso",TODAY()-W163,"")</f>
        <v/>
      </c>
      <c r="AA163" s="42" t="str">
        <f aca="false">IF(Y163="Em atraso",COUNTIF($Y$5:Y163,"Em atraso"),"")</f>
        <v/>
      </c>
    </row>
    <row r="164" customFormat="false" ht="15" hidden="false" customHeight="false" outlineLevel="0" collapsed="false">
      <c r="A164" s="36"/>
      <c r="B164" s="36"/>
      <c r="C164" s="36"/>
      <c r="D164" s="36"/>
      <c r="E164" s="36"/>
      <c r="F164" s="37"/>
      <c r="G164" s="36"/>
      <c r="H164" s="38"/>
      <c r="I164" s="36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40" t="n">
        <f aca="false">IF(A164="",0,IF(AND(I164="Ativo",OR(H164="",H164&lt;=EOMONTH(DATE(Painel!$C$4,Painel!$C$6,1),0))),F164,0))</f>
        <v>0</v>
      </c>
      <c r="W164" s="41" t="str">
        <f aca="false">IF(OR(V164=0,G164=""),"",DATE(Painel!$C$4,Painel!$C$6,MIN(G164,DAY(EOMONTH(DATE(Painel!$C$4,Painel!$C$6,1),0)))))</f>
        <v/>
      </c>
      <c r="X164" s="41" t="str">
        <f aca="false">IF(A164="","",IF(INDEX(J164:U164,Painel!$C$6)="","",INDEX(J164:U164,Painel!$C$6)))</f>
        <v/>
      </c>
      <c r="Y164" s="42" t="str">
        <f aca="true">IF(A164="","",IF(I164&lt;&gt;"Ativo","Inativo",IF(V164=0,"Sem cobrança",IF(X164&lt;&gt;"",IF(AND(W164&lt;&gt;"",X164&gt;W164),"Pago com atraso","Pago"),IF(W164="","Sem vencimento",IF(TODAY()&gt;W164,"Em atraso","A vencer"))))))</f>
        <v/>
      </c>
      <c r="Z164" s="43" t="str">
        <f aca="true">IF(Y164="Em atraso",TODAY()-W164,"")</f>
        <v/>
      </c>
      <c r="AA164" s="42" t="str">
        <f aca="false">IF(Y164="Em atraso",COUNTIF($Y$5:Y164,"Em atraso"),"")</f>
        <v/>
      </c>
    </row>
    <row r="165" customFormat="false" ht="15" hidden="false" customHeight="false" outlineLevel="0" collapsed="false">
      <c r="A165" s="36"/>
      <c r="B165" s="36"/>
      <c r="C165" s="36"/>
      <c r="D165" s="36"/>
      <c r="E165" s="36"/>
      <c r="F165" s="37"/>
      <c r="G165" s="36"/>
      <c r="H165" s="38"/>
      <c r="I165" s="36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40" t="n">
        <f aca="false">IF(A165="",0,IF(AND(I165="Ativo",OR(H165="",H165&lt;=EOMONTH(DATE(Painel!$C$4,Painel!$C$6,1),0))),F165,0))</f>
        <v>0</v>
      </c>
      <c r="W165" s="41" t="str">
        <f aca="false">IF(OR(V165=0,G165=""),"",DATE(Painel!$C$4,Painel!$C$6,MIN(G165,DAY(EOMONTH(DATE(Painel!$C$4,Painel!$C$6,1),0)))))</f>
        <v/>
      </c>
      <c r="X165" s="41" t="str">
        <f aca="false">IF(A165="","",IF(INDEX(J165:U165,Painel!$C$6)="","",INDEX(J165:U165,Painel!$C$6)))</f>
        <v/>
      </c>
      <c r="Y165" s="42" t="str">
        <f aca="true">IF(A165="","",IF(I165&lt;&gt;"Ativo","Inativo",IF(V165=0,"Sem cobrança",IF(X165&lt;&gt;"",IF(AND(W165&lt;&gt;"",X165&gt;W165),"Pago com atraso","Pago"),IF(W165="","Sem vencimento",IF(TODAY()&gt;W165,"Em atraso","A vencer"))))))</f>
        <v/>
      </c>
      <c r="Z165" s="43" t="str">
        <f aca="true">IF(Y165="Em atraso",TODAY()-W165,"")</f>
        <v/>
      </c>
      <c r="AA165" s="42" t="str">
        <f aca="false">IF(Y165="Em atraso",COUNTIF($Y$5:Y165,"Em atraso"),"")</f>
        <v/>
      </c>
    </row>
    <row r="166" customFormat="false" ht="15" hidden="false" customHeight="false" outlineLevel="0" collapsed="false">
      <c r="A166" s="36"/>
      <c r="B166" s="36"/>
      <c r="C166" s="36"/>
      <c r="D166" s="36"/>
      <c r="E166" s="36"/>
      <c r="F166" s="37"/>
      <c r="G166" s="36"/>
      <c r="H166" s="38"/>
      <c r="I166" s="36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40" t="n">
        <f aca="false">IF(A166="",0,IF(AND(I166="Ativo",OR(H166="",H166&lt;=EOMONTH(DATE(Painel!$C$4,Painel!$C$6,1),0))),F166,0))</f>
        <v>0</v>
      </c>
      <c r="W166" s="41" t="str">
        <f aca="false">IF(OR(V166=0,G166=""),"",DATE(Painel!$C$4,Painel!$C$6,MIN(G166,DAY(EOMONTH(DATE(Painel!$C$4,Painel!$C$6,1),0)))))</f>
        <v/>
      </c>
      <c r="X166" s="41" t="str">
        <f aca="false">IF(A166="","",IF(INDEX(J166:U166,Painel!$C$6)="","",INDEX(J166:U166,Painel!$C$6)))</f>
        <v/>
      </c>
      <c r="Y166" s="42" t="str">
        <f aca="true">IF(A166="","",IF(I166&lt;&gt;"Ativo","Inativo",IF(V166=0,"Sem cobrança",IF(X166&lt;&gt;"",IF(AND(W166&lt;&gt;"",X166&gt;W166),"Pago com atraso","Pago"),IF(W166="","Sem vencimento",IF(TODAY()&gt;W166,"Em atraso","A vencer"))))))</f>
        <v/>
      </c>
      <c r="Z166" s="43" t="str">
        <f aca="true">IF(Y166="Em atraso",TODAY()-W166,"")</f>
        <v/>
      </c>
      <c r="AA166" s="42" t="str">
        <f aca="false">IF(Y166="Em atraso",COUNTIF($Y$5:Y166,"Em atraso"),"")</f>
        <v/>
      </c>
    </row>
    <row r="167" customFormat="false" ht="15" hidden="false" customHeight="false" outlineLevel="0" collapsed="false">
      <c r="A167" s="36"/>
      <c r="B167" s="36"/>
      <c r="C167" s="36"/>
      <c r="D167" s="36"/>
      <c r="E167" s="36"/>
      <c r="F167" s="37"/>
      <c r="G167" s="36"/>
      <c r="H167" s="38"/>
      <c r="I167" s="36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0" t="n">
        <f aca="false">IF(A167="",0,IF(AND(I167="Ativo",OR(H167="",H167&lt;=EOMONTH(DATE(Painel!$C$4,Painel!$C$6,1),0))),F167,0))</f>
        <v>0</v>
      </c>
      <c r="W167" s="41" t="str">
        <f aca="false">IF(OR(V167=0,G167=""),"",DATE(Painel!$C$4,Painel!$C$6,MIN(G167,DAY(EOMONTH(DATE(Painel!$C$4,Painel!$C$6,1),0)))))</f>
        <v/>
      </c>
      <c r="X167" s="41" t="str">
        <f aca="false">IF(A167="","",IF(INDEX(J167:U167,Painel!$C$6)="","",INDEX(J167:U167,Painel!$C$6)))</f>
        <v/>
      </c>
      <c r="Y167" s="42" t="str">
        <f aca="true">IF(A167="","",IF(I167&lt;&gt;"Ativo","Inativo",IF(V167=0,"Sem cobrança",IF(X167&lt;&gt;"",IF(AND(W167&lt;&gt;"",X167&gt;W167),"Pago com atraso","Pago"),IF(W167="","Sem vencimento",IF(TODAY()&gt;W167,"Em atraso","A vencer"))))))</f>
        <v/>
      </c>
      <c r="Z167" s="43" t="str">
        <f aca="true">IF(Y167="Em atraso",TODAY()-W167,"")</f>
        <v/>
      </c>
      <c r="AA167" s="42" t="str">
        <f aca="false">IF(Y167="Em atraso",COUNTIF($Y$5:Y167,"Em atraso"),"")</f>
        <v/>
      </c>
    </row>
    <row r="168" customFormat="false" ht="15" hidden="false" customHeight="false" outlineLevel="0" collapsed="false">
      <c r="A168" s="36"/>
      <c r="B168" s="36"/>
      <c r="C168" s="36"/>
      <c r="D168" s="36"/>
      <c r="E168" s="36"/>
      <c r="F168" s="37"/>
      <c r="G168" s="36"/>
      <c r="H168" s="38"/>
      <c r="I168" s="36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40" t="n">
        <f aca="false">IF(A168="",0,IF(AND(I168="Ativo",OR(H168="",H168&lt;=EOMONTH(DATE(Painel!$C$4,Painel!$C$6,1),0))),F168,0))</f>
        <v>0</v>
      </c>
      <c r="W168" s="41" t="str">
        <f aca="false">IF(OR(V168=0,G168=""),"",DATE(Painel!$C$4,Painel!$C$6,MIN(G168,DAY(EOMONTH(DATE(Painel!$C$4,Painel!$C$6,1),0)))))</f>
        <v/>
      </c>
      <c r="X168" s="41" t="str">
        <f aca="false">IF(A168="","",IF(INDEX(J168:U168,Painel!$C$6)="","",INDEX(J168:U168,Painel!$C$6)))</f>
        <v/>
      </c>
      <c r="Y168" s="42" t="str">
        <f aca="true">IF(A168="","",IF(I168&lt;&gt;"Ativo","Inativo",IF(V168=0,"Sem cobrança",IF(X168&lt;&gt;"",IF(AND(W168&lt;&gt;"",X168&gt;W168),"Pago com atraso","Pago"),IF(W168="","Sem vencimento",IF(TODAY()&gt;W168,"Em atraso","A vencer"))))))</f>
        <v/>
      </c>
      <c r="Z168" s="43" t="str">
        <f aca="true">IF(Y168="Em atraso",TODAY()-W168,"")</f>
        <v/>
      </c>
      <c r="AA168" s="42" t="str">
        <f aca="false">IF(Y168="Em atraso",COUNTIF($Y$5:Y168,"Em atraso"),"")</f>
        <v/>
      </c>
    </row>
    <row r="169" customFormat="false" ht="15" hidden="false" customHeight="false" outlineLevel="0" collapsed="false">
      <c r="A169" s="36"/>
      <c r="B169" s="36"/>
      <c r="C169" s="36"/>
      <c r="D169" s="36"/>
      <c r="E169" s="36"/>
      <c r="F169" s="37"/>
      <c r="G169" s="36"/>
      <c r="H169" s="38"/>
      <c r="I169" s="36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40" t="n">
        <f aca="false">IF(A169="",0,IF(AND(I169="Ativo",OR(H169="",H169&lt;=EOMONTH(DATE(Painel!$C$4,Painel!$C$6,1),0))),F169,0))</f>
        <v>0</v>
      </c>
      <c r="W169" s="41" t="str">
        <f aca="false">IF(OR(V169=0,G169=""),"",DATE(Painel!$C$4,Painel!$C$6,MIN(G169,DAY(EOMONTH(DATE(Painel!$C$4,Painel!$C$6,1),0)))))</f>
        <v/>
      </c>
      <c r="X169" s="41" t="str">
        <f aca="false">IF(A169="","",IF(INDEX(J169:U169,Painel!$C$6)="","",INDEX(J169:U169,Painel!$C$6)))</f>
        <v/>
      </c>
      <c r="Y169" s="42" t="str">
        <f aca="true">IF(A169="","",IF(I169&lt;&gt;"Ativo","Inativo",IF(V169=0,"Sem cobrança",IF(X169&lt;&gt;"",IF(AND(W169&lt;&gt;"",X169&gt;W169),"Pago com atraso","Pago"),IF(W169="","Sem vencimento",IF(TODAY()&gt;W169,"Em atraso","A vencer"))))))</f>
        <v/>
      </c>
      <c r="Z169" s="43" t="str">
        <f aca="true">IF(Y169="Em atraso",TODAY()-W169,"")</f>
        <v/>
      </c>
      <c r="AA169" s="42" t="str">
        <f aca="false">IF(Y169="Em atraso",COUNTIF($Y$5:Y169,"Em atraso"),"")</f>
        <v/>
      </c>
    </row>
    <row r="170" customFormat="false" ht="15" hidden="false" customHeight="false" outlineLevel="0" collapsed="false">
      <c r="A170" s="36"/>
      <c r="B170" s="36"/>
      <c r="C170" s="36"/>
      <c r="D170" s="36"/>
      <c r="E170" s="36"/>
      <c r="F170" s="37"/>
      <c r="G170" s="36"/>
      <c r="H170" s="38"/>
      <c r="I170" s="36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40" t="n">
        <f aca="false">IF(A170="",0,IF(AND(I170="Ativo",OR(H170="",H170&lt;=EOMONTH(DATE(Painel!$C$4,Painel!$C$6,1),0))),F170,0))</f>
        <v>0</v>
      </c>
      <c r="W170" s="41" t="str">
        <f aca="false">IF(OR(V170=0,G170=""),"",DATE(Painel!$C$4,Painel!$C$6,MIN(G170,DAY(EOMONTH(DATE(Painel!$C$4,Painel!$C$6,1),0)))))</f>
        <v/>
      </c>
      <c r="X170" s="41" t="str">
        <f aca="false">IF(A170="","",IF(INDEX(J170:U170,Painel!$C$6)="","",INDEX(J170:U170,Painel!$C$6)))</f>
        <v/>
      </c>
      <c r="Y170" s="42" t="str">
        <f aca="true">IF(A170="","",IF(I170&lt;&gt;"Ativo","Inativo",IF(V170=0,"Sem cobrança",IF(X170&lt;&gt;"",IF(AND(W170&lt;&gt;"",X170&gt;W170),"Pago com atraso","Pago"),IF(W170="","Sem vencimento",IF(TODAY()&gt;W170,"Em atraso","A vencer"))))))</f>
        <v/>
      </c>
      <c r="Z170" s="43" t="str">
        <f aca="true">IF(Y170="Em atraso",TODAY()-W170,"")</f>
        <v/>
      </c>
      <c r="AA170" s="42" t="str">
        <f aca="false">IF(Y170="Em atraso",COUNTIF($Y$5:Y170,"Em atraso"),"")</f>
        <v/>
      </c>
    </row>
    <row r="171" customFormat="false" ht="15" hidden="false" customHeight="false" outlineLevel="0" collapsed="false">
      <c r="A171" s="36"/>
      <c r="B171" s="36"/>
      <c r="C171" s="36"/>
      <c r="D171" s="36"/>
      <c r="E171" s="36"/>
      <c r="F171" s="37"/>
      <c r="G171" s="36"/>
      <c r="H171" s="38"/>
      <c r="I171" s="36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40" t="n">
        <f aca="false">IF(A171="",0,IF(AND(I171="Ativo",OR(H171="",H171&lt;=EOMONTH(DATE(Painel!$C$4,Painel!$C$6,1),0))),F171,0))</f>
        <v>0</v>
      </c>
      <c r="W171" s="41" t="str">
        <f aca="false">IF(OR(V171=0,G171=""),"",DATE(Painel!$C$4,Painel!$C$6,MIN(G171,DAY(EOMONTH(DATE(Painel!$C$4,Painel!$C$6,1),0)))))</f>
        <v/>
      </c>
      <c r="X171" s="41" t="str">
        <f aca="false">IF(A171="","",IF(INDEX(J171:U171,Painel!$C$6)="","",INDEX(J171:U171,Painel!$C$6)))</f>
        <v/>
      </c>
      <c r="Y171" s="42" t="str">
        <f aca="true">IF(A171="","",IF(I171&lt;&gt;"Ativo","Inativo",IF(V171=0,"Sem cobrança",IF(X171&lt;&gt;"",IF(AND(W171&lt;&gt;"",X171&gt;W171),"Pago com atraso","Pago"),IF(W171="","Sem vencimento",IF(TODAY()&gt;W171,"Em atraso","A vencer"))))))</f>
        <v/>
      </c>
      <c r="Z171" s="43" t="str">
        <f aca="true">IF(Y171="Em atraso",TODAY()-W171,"")</f>
        <v/>
      </c>
      <c r="AA171" s="42" t="str">
        <f aca="false">IF(Y171="Em atraso",COUNTIF($Y$5:Y171,"Em atraso"),"")</f>
        <v/>
      </c>
    </row>
    <row r="172" customFormat="false" ht="15" hidden="false" customHeight="false" outlineLevel="0" collapsed="false">
      <c r="A172" s="36"/>
      <c r="B172" s="36"/>
      <c r="C172" s="36"/>
      <c r="D172" s="36"/>
      <c r="E172" s="36"/>
      <c r="F172" s="37"/>
      <c r="G172" s="36"/>
      <c r="H172" s="38"/>
      <c r="I172" s="36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0" t="n">
        <f aca="false">IF(A172="",0,IF(AND(I172="Ativo",OR(H172="",H172&lt;=EOMONTH(DATE(Painel!$C$4,Painel!$C$6,1),0))),F172,0))</f>
        <v>0</v>
      </c>
      <c r="W172" s="41" t="str">
        <f aca="false">IF(OR(V172=0,G172=""),"",DATE(Painel!$C$4,Painel!$C$6,MIN(G172,DAY(EOMONTH(DATE(Painel!$C$4,Painel!$C$6,1),0)))))</f>
        <v/>
      </c>
      <c r="X172" s="41" t="str">
        <f aca="false">IF(A172="","",IF(INDEX(J172:U172,Painel!$C$6)="","",INDEX(J172:U172,Painel!$C$6)))</f>
        <v/>
      </c>
      <c r="Y172" s="42" t="str">
        <f aca="true">IF(A172="","",IF(I172&lt;&gt;"Ativo","Inativo",IF(V172=0,"Sem cobrança",IF(X172&lt;&gt;"",IF(AND(W172&lt;&gt;"",X172&gt;W172),"Pago com atraso","Pago"),IF(W172="","Sem vencimento",IF(TODAY()&gt;W172,"Em atraso","A vencer"))))))</f>
        <v/>
      </c>
      <c r="Z172" s="43" t="str">
        <f aca="true">IF(Y172="Em atraso",TODAY()-W172,"")</f>
        <v/>
      </c>
      <c r="AA172" s="42" t="str">
        <f aca="false">IF(Y172="Em atraso",COUNTIF($Y$5:Y172,"Em atraso"),"")</f>
        <v/>
      </c>
    </row>
    <row r="173" customFormat="false" ht="15" hidden="false" customHeight="false" outlineLevel="0" collapsed="false">
      <c r="A173" s="36"/>
      <c r="B173" s="36"/>
      <c r="C173" s="36"/>
      <c r="D173" s="36"/>
      <c r="E173" s="36"/>
      <c r="F173" s="37"/>
      <c r="G173" s="36"/>
      <c r="H173" s="38"/>
      <c r="I173" s="36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40" t="n">
        <f aca="false">IF(A173="",0,IF(AND(I173="Ativo",OR(H173="",H173&lt;=EOMONTH(DATE(Painel!$C$4,Painel!$C$6,1),0))),F173,0))</f>
        <v>0</v>
      </c>
      <c r="W173" s="41" t="str">
        <f aca="false">IF(OR(V173=0,G173=""),"",DATE(Painel!$C$4,Painel!$C$6,MIN(G173,DAY(EOMONTH(DATE(Painel!$C$4,Painel!$C$6,1),0)))))</f>
        <v/>
      </c>
      <c r="X173" s="41" t="str">
        <f aca="false">IF(A173="","",IF(INDEX(J173:U173,Painel!$C$6)="","",INDEX(J173:U173,Painel!$C$6)))</f>
        <v/>
      </c>
      <c r="Y173" s="42" t="str">
        <f aca="true">IF(A173="","",IF(I173&lt;&gt;"Ativo","Inativo",IF(V173=0,"Sem cobrança",IF(X173&lt;&gt;"",IF(AND(W173&lt;&gt;"",X173&gt;W173),"Pago com atraso","Pago"),IF(W173="","Sem vencimento",IF(TODAY()&gt;W173,"Em atraso","A vencer"))))))</f>
        <v/>
      </c>
      <c r="Z173" s="43" t="str">
        <f aca="true">IF(Y173="Em atraso",TODAY()-W173,"")</f>
        <v/>
      </c>
      <c r="AA173" s="42" t="str">
        <f aca="false">IF(Y173="Em atraso",COUNTIF($Y$5:Y173,"Em atraso"),"")</f>
        <v/>
      </c>
    </row>
    <row r="174" customFormat="false" ht="15" hidden="false" customHeight="false" outlineLevel="0" collapsed="false">
      <c r="A174" s="36"/>
      <c r="B174" s="36"/>
      <c r="C174" s="36"/>
      <c r="D174" s="36"/>
      <c r="E174" s="36"/>
      <c r="F174" s="37"/>
      <c r="G174" s="36"/>
      <c r="H174" s="38"/>
      <c r="I174" s="36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40" t="n">
        <f aca="false">IF(A174="",0,IF(AND(I174="Ativo",OR(H174="",H174&lt;=EOMONTH(DATE(Painel!$C$4,Painel!$C$6,1),0))),F174,0))</f>
        <v>0</v>
      </c>
      <c r="W174" s="41" t="str">
        <f aca="false">IF(OR(V174=0,G174=""),"",DATE(Painel!$C$4,Painel!$C$6,MIN(G174,DAY(EOMONTH(DATE(Painel!$C$4,Painel!$C$6,1),0)))))</f>
        <v/>
      </c>
      <c r="X174" s="41" t="str">
        <f aca="false">IF(A174="","",IF(INDEX(J174:U174,Painel!$C$6)="","",INDEX(J174:U174,Painel!$C$6)))</f>
        <v/>
      </c>
      <c r="Y174" s="42" t="str">
        <f aca="true">IF(A174="","",IF(I174&lt;&gt;"Ativo","Inativo",IF(V174=0,"Sem cobrança",IF(X174&lt;&gt;"",IF(AND(W174&lt;&gt;"",X174&gt;W174),"Pago com atraso","Pago"),IF(W174="","Sem vencimento",IF(TODAY()&gt;W174,"Em atraso","A vencer"))))))</f>
        <v/>
      </c>
      <c r="Z174" s="43" t="str">
        <f aca="true">IF(Y174="Em atraso",TODAY()-W174,"")</f>
        <v/>
      </c>
      <c r="AA174" s="42" t="str">
        <f aca="false">IF(Y174="Em atraso",COUNTIF($Y$5:Y174,"Em atraso"),"")</f>
        <v/>
      </c>
    </row>
    <row r="175" customFormat="false" ht="15" hidden="false" customHeight="false" outlineLevel="0" collapsed="false">
      <c r="A175" s="36"/>
      <c r="B175" s="36"/>
      <c r="C175" s="36"/>
      <c r="D175" s="36"/>
      <c r="E175" s="36"/>
      <c r="F175" s="37"/>
      <c r="G175" s="36"/>
      <c r="H175" s="38"/>
      <c r="I175" s="36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40" t="n">
        <f aca="false">IF(A175="",0,IF(AND(I175="Ativo",OR(H175="",H175&lt;=EOMONTH(DATE(Painel!$C$4,Painel!$C$6,1),0))),F175,0))</f>
        <v>0</v>
      </c>
      <c r="W175" s="41" t="str">
        <f aca="false">IF(OR(V175=0,G175=""),"",DATE(Painel!$C$4,Painel!$C$6,MIN(G175,DAY(EOMONTH(DATE(Painel!$C$4,Painel!$C$6,1),0)))))</f>
        <v/>
      </c>
      <c r="X175" s="41" t="str">
        <f aca="false">IF(A175="","",IF(INDEX(J175:U175,Painel!$C$6)="","",INDEX(J175:U175,Painel!$C$6)))</f>
        <v/>
      </c>
      <c r="Y175" s="42" t="str">
        <f aca="true">IF(A175="","",IF(I175&lt;&gt;"Ativo","Inativo",IF(V175=0,"Sem cobrança",IF(X175&lt;&gt;"",IF(AND(W175&lt;&gt;"",X175&gt;W175),"Pago com atraso","Pago"),IF(W175="","Sem vencimento",IF(TODAY()&gt;W175,"Em atraso","A vencer"))))))</f>
        <v/>
      </c>
      <c r="Z175" s="43" t="str">
        <f aca="true">IF(Y175="Em atraso",TODAY()-W175,"")</f>
        <v/>
      </c>
      <c r="AA175" s="42" t="str">
        <f aca="false">IF(Y175="Em atraso",COUNTIF($Y$5:Y175,"Em atraso"),"")</f>
        <v/>
      </c>
    </row>
    <row r="176" customFormat="false" ht="15" hidden="false" customHeight="false" outlineLevel="0" collapsed="false">
      <c r="A176" s="36"/>
      <c r="B176" s="36"/>
      <c r="C176" s="36"/>
      <c r="D176" s="36"/>
      <c r="E176" s="36"/>
      <c r="F176" s="37"/>
      <c r="G176" s="36"/>
      <c r="H176" s="38"/>
      <c r="I176" s="36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40" t="n">
        <f aca="false">IF(A176="",0,IF(AND(I176="Ativo",OR(H176="",H176&lt;=EOMONTH(DATE(Painel!$C$4,Painel!$C$6,1),0))),F176,0))</f>
        <v>0</v>
      </c>
      <c r="W176" s="41" t="str">
        <f aca="false">IF(OR(V176=0,G176=""),"",DATE(Painel!$C$4,Painel!$C$6,MIN(G176,DAY(EOMONTH(DATE(Painel!$C$4,Painel!$C$6,1),0)))))</f>
        <v/>
      </c>
      <c r="X176" s="41" t="str">
        <f aca="false">IF(A176="","",IF(INDEX(J176:U176,Painel!$C$6)="","",INDEX(J176:U176,Painel!$C$6)))</f>
        <v/>
      </c>
      <c r="Y176" s="42" t="str">
        <f aca="true">IF(A176="","",IF(I176&lt;&gt;"Ativo","Inativo",IF(V176=0,"Sem cobrança",IF(X176&lt;&gt;"",IF(AND(W176&lt;&gt;"",X176&gt;W176),"Pago com atraso","Pago"),IF(W176="","Sem vencimento",IF(TODAY()&gt;W176,"Em atraso","A vencer"))))))</f>
        <v/>
      </c>
      <c r="Z176" s="43" t="str">
        <f aca="true">IF(Y176="Em atraso",TODAY()-W176,"")</f>
        <v/>
      </c>
      <c r="AA176" s="42" t="str">
        <f aca="false">IF(Y176="Em atraso",COUNTIF($Y$5:Y176,"Em atraso"),"")</f>
        <v/>
      </c>
    </row>
    <row r="177" customFormat="false" ht="15" hidden="false" customHeight="false" outlineLevel="0" collapsed="false">
      <c r="A177" s="36"/>
      <c r="B177" s="36"/>
      <c r="C177" s="36"/>
      <c r="D177" s="36"/>
      <c r="E177" s="36"/>
      <c r="F177" s="37"/>
      <c r="G177" s="36"/>
      <c r="H177" s="38"/>
      <c r="I177" s="36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0" t="n">
        <f aca="false">IF(A177="",0,IF(AND(I177="Ativo",OR(H177="",H177&lt;=EOMONTH(DATE(Painel!$C$4,Painel!$C$6,1),0))),F177,0))</f>
        <v>0</v>
      </c>
      <c r="W177" s="41" t="str">
        <f aca="false">IF(OR(V177=0,G177=""),"",DATE(Painel!$C$4,Painel!$C$6,MIN(G177,DAY(EOMONTH(DATE(Painel!$C$4,Painel!$C$6,1),0)))))</f>
        <v/>
      </c>
      <c r="X177" s="41" t="str">
        <f aca="false">IF(A177="","",IF(INDEX(J177:U177,Painel!$C$6)="","",INDEX(J177:U177,Painel!$C$6)))</f>
        <v/>
      </c>
      <c r="Y177" s="42" t="str">
        <f aca="true">IF(A177="","",IF(I177&lt;&gt;"Ativo","Inativo",IF(V177=0,"Sem cobrança",IF(X177&lt;&gt;"",IF(AND(W177&lt;&gt;"",X177&gt;W177),"Pago com atraso","Pago"),IF(W177="","Sem vencimento",IF(TODAY()&gt;W177,"Em atraso","A vencer"))))))</f>
        <v/>
      </c>
      <c r="Z177" s="43" t="str">
        <f aca="true">IF(Y177="Em atraso",TODAY()-W177,"")</f>
        <v/>
      </c>
      <c r="AA177" s="42" t="str">
        <f aca="false">IF(Y177="Em atraso",COUNTIF($Y$5:Y177,"Em atraso"),"")</f>
        <v/>
      </c>
    </row>
    <row r="178" customFormat="false" ht="15" hidden="false" customHeight="false" outlineLevel="0" collapsed="false">
      <c r="A178" s="36"/>
      <c r="B178" s="36"/>
      <c r="C178" s="36"/>
      <c r="D178" s="36"/>
      <c r="E178" s="36"/>
      <c r="F178" s="37"/>
      <c r="G178" s="36"/>
      <c r="H178" s="38"/>
      <c r="I178" s="36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0" t="n">
        <f aca="false">IF(A178="",0,IF(AND(I178="Ativo",OR(H178="",H178&lt;=EOMONTH(DATE(Painel!$C$4,Painel!$C$6,1),0))),F178,0))</f>
        <v>0</v>
      </c>
      <c r="W178" s="41" t="str">
        <f aca="false">IF(OR(V178=0,G178=""),"",DATE(Painel!$C$4,Painel!$C$6,MIN(G178,DAY(EOMONTH(DATE(Painel!$C$4,Painel!$C$6,1),0)))))</f>
        <v/>
      </c>
      <c r="X178" s="41" t="str">
        <f aca="false">IF(A178="","",IF(INDEX(J178:U178,Painel!$C$6)="","",INDEX(J178:U178,Painel!$C$6)))</f>
        <v/>
      </c>
      <c r="Y178" s="42" t="str">
        <f aca="true">IF(A178="","",IF(I178&lt;&gt;"Ativo","Inativo",IF(V178=0,"Sem cobrança",IF(X178&lt;&gt;"",IF(AND(W178&lt;&gt;"",X178&gt;W178),"Pago com atraso","Pago"),IF(W178="","Sem vencimento",IF(TODAY()&gt;W178,"Em atraso","A vencer"))))))</f>
        <v/>
      </c>
      <c r="Z178" s="43" t="str">
        <f aca="true">IF(Y178="Em atraso",TODAY()-W178,"")</f>
        <v/>
      </c>
      <c r="AA178" s="42" t="str">
        <f aca="false">IF(Y178="Em atraso",COUNTIF($Y$5:Y178,"Em atraso"),"")</f>
        <v/>
      </c>
    </row>
    <row r="179" customFormat="false" ht="15" hidden="false" customHeight="false" outlineLevel="0" collapsed="false">
      <c r="A179" s="36"/>
      <c r="B179" s="36"/>
      <c r="C179" s="36"/>
      <c r="D179" s="36"/>
      <c r="E179" s="36"/>
      <c r="F179" s="37"/>
      <c r="G179" s="36"/>
      <c r="H179" s="38"/>
      <c r="I179" s="36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40" t="n">
        <f aca="false">IF(A179="",0,IF(AND(I179="Ativo",OR(H179="",H179&lt;=EOMONTH(DATE(Painel!$C$4,Painel!$C$6,1),0))),F179,0))</f>
        <v>0</v>
      </c>
      <c r="W179" s="41" t="str">
        <f aca="false">IF(OR(V179=0,G179=""),"",DATE(Painel!$C$4,Painel!$C$6,MIN(G179,DAY(EOMONTH(DATE(Painel!$C$4,Painel!$C$6,1),0)))))</f>
        <v/>
      </c>
      <c r="X179" s="41" t="str">
        <f aca="false">IF(A179="","",IF(INDEX(J179:U179,Painel!$C$6)="","",INDEX(J179:U179,Painel!$C$6)))</f>
        <v/>
      </c>
      <c r="Y179" s="42" t="str">
        <f aca="true">IF(A179="","",IF(I179&lt;&gt;"Ativo","Inativo",IF(V179=0,"Sem cobrança",IF(X179&lt;&gt;"",IF(AND(W179&lt;&gt;"",X179&gt;W179),"Pago com atraso","Pago"),IF(W179="","Sem vencimento",IF(TODAY()&gt;W179,"Em atraso","A vencer"))))))</f>
        <v/>
      </c>
      <c r="Z179" s="43" t="str">
        <f aca="true">IF(Y179="Em atraso",TODAY()-W179,"")</f>
        <v/>
      </c>
      <c r="AA179" s="42" t="str">
        <f aca="false">IF(Y179="Em atraso",COUNTIF($Y$5:Y179,"Em atraso"),"")</f>
        <v/>
      </c>
    </row>
    <row r="180" customFormat="false" ht="15" hidden="false" customHeight="false" outlineLevel="0" collapsed="false">
      <c r="A180" s="36"/>
      <c r="B180" s="36"/>
      <c r="C180" s="36"/>
      <c r="D180" s="36"/>
      <c r="E180" s="36"/>
      <c r="F180" s="37"/>
      <c r="G180" s="36"/>
      <c r="H180" s="38"/>
      <c r="I180" s="36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40" t="n">
        <f aca="false">IF(A180="",0,IF(AND(I180="Ativo",OR(H180="",H180&lt;=EOMONTH(DATE(Painel!$C$4,Painel!$C$6,1),0))),F180,0))</f>
        <v>0</v>
      </c>
      <c r="W180" s="41" t="str">
        <f aca="false">IF(OR(V180=0,G180=""),"",DATE(Painel!$C$4,Painel!$C$6,MIN(G180,DAY(EOMONTH(DATE(Painel!$C$4,Painel!$C$6,1),0)))))</f>
        <v/>
      </c>
      <c r="X180" s="41" t="str">
        <f aca="false">IF(A180="","",IF(INDEX(J180:U180,Painel!$C$6)="","",INDEX(J180:U180,Painel!$C$6)))</f>
        <v/>
      </c>
      <c r="Y180" s="42" t="str">
        <f aca="true">IF(A180="","",IF(I180&lt;&gt;"Ativo","Inativo",IF(V180=0,"Sem cobrança",IF(X180&lt;&gt;"",IF(AND(W180&lt;&gt;"",X180&gt;W180),"Pago com atraso","Pago"),IF(W180="","Sem vencimento",IF(TODAY()&gt;W180,"Em atraso","A vencer"))))))</f>
        <v/>
      </c>
      <c r="Z180" s="43" t="str">
        <f aca="true">IF(Y180="Em atraso",TODAY()-W180,"")</f>
        <v/>
      </c>
      <c r="AA180" s="42" t="str">
        <f aca="false">IF(Y180="Em atraso",COUNTIF($Y$5:Y180,"Em atraso"),"")</f>
        <v/>
      </c>
    </row>
    <row r="181" customFormat="false" ht="15" hidden="false" customHeight="false" outlineLevel="0" collapsed="false">
      <c r="A181" s="36"/>
      <c r="B181" s="36"/>
      <c r="C181" s="36"/>
      <c r="D181" s="36"/>
      <c r="E181" s="36"/>
      <c r="F181" s="37"/>
      <c r="G181" s="36"/>
      <c r="H181" s="38"/>
      <c r="I181" s="36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40" t="n">
        <f aca="false">IF(A181="",0,IF(AND(I181="Ativo",OR(H181="",H181&lt;=EOMONTH(DATE(Painel!$C$4,Painel!$C$6,1),0))),F181,0))</f>
        <v>0</v>
      </c>
      <c r="W181" s="41" t="str">
        <f aca="false">IF(OR(V181=0,G181=""),"",DATE(Painel!$C$4,Painel!$C$6,MIN(G181,DAY(EOMONTH(DATE(Painel!$C$4,Painel!$C$6,1),0)))))</f>
        <v/>
      </c>
      <c r="X181" s="41" t="str">
        <f aca="false">IF(A181="","",IF(INDEX(J181:U181,Painel!$C$6)="","",INDEX(J181:U181,Painel!$C$6)))</f>
        <v/>
      </c>
      <c r="Y181" s="42" t="str">
        <f aca="true">IF(A181="","",IF(I181&lt;&gt;"Ativo","Inativo",IF(V181=0,"Sem cobrança",IF(X181&lt;&gt;"",IF(AND(W181&lt;&gt;"",X181&gt;W181),"Pago com atraso","Pago"),IF(W181="","Sem vencimento",IF(TODAY()&gt;W181,"Em atraso","A vencer"))))))</f>
        <v/>
      </c>
      <c r="Z181" s="43" t="str">
        <f aca="true">IF(Y181="Em atraso",TODAY()-W181,"")</f>
        <v/>
      </c>
      <c r="AA181" s="42" t="str">
        <f aca="false">IF(Y181="Em atraso",COUNTIF($Y$5:Y181,"Em atraso"),"")</f>
        <v/>
      </c>
    </row>
    <row r="182" customFormat="false" ht="15" hidden="false" customHeight="false" outlineLevel="0" collapsed="false">
      <c r="A182" s="36"/>
      <c r="B182" s="36"/>
      <c r="C182" s="36"/>
      <c r="D182" s="36"/>
      <c r="E182" s="36"/>
      <c r="F182" s="37"/>
      <c r="G182" s="36"/>
      <c r="H182" s="38"/>
      <c r="I182" s="36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0" t="n">
        <f aca="false">IF(A182="",0,IF(AND(I182="Ativo",OR(H182="",H182&lt;=EOMONTH(DATE(Painel!$C$4,Painel!$C$6,1),0))),F182,0))</f>
        <v>0</v>
      </c>
      <c r="W182" s="41" t="str">
        <f aca="false">IF(OR(V182=0,G182=""),"",DATE(Painel!$C$4,Painel!$C$6,MIN(G182,DAY(EOMONTH(DATE(Painel!$C$4,Painel!$C$6,1),0)))))</f>
        <v/>
      </c>
      <c r="X182" s="41" t="str">
        <f aca="false">IF(A182="","",IF(INDEX(J182:U182,Painel!$C$6)="","",INDEX(J182:U182,Painel!$C$6)))</f>
        <v/>
      </c>
      <c r="Y182" s="42" t="str">
        <f aca="true">IF(A182="","",IF(I182&lt;&gt;"Ativo","Inativo",IF(V182=0,"Sem cobrança",IF(X182&lt;&gt;"",IF(AND(W182&lt;&gt;"",X182&gt;W182),"Pago com atraso","Pago"),IF(W182="","Sem vencimento",IF(TODAY()&gt;W182,"Em atraso","A vencer"))))))</f>
        <v/>
      </c>
      <c r="Z182" s="43" t="str">
        <f aca="true">IF(Y182="Em atraso",TODAY()-W182,"")</f>
        <v/>
      </c>
      <c r="AA182" s="42" t="str">
        <f aca="false">IF(Y182="Em atraso",COUNTIF($Y$5:Y182,"Em atraso"),"")</f>
        <v/>
      </c>
    </row>
    <row r="183" customFormat="false" ht="15" hidden="false" customHeight="false" outlineLevel="0" collapsed="false">
      <c r="A183" s="36"/>
      <c r="B183" s="36"/>
      <c r="C183" s="36"/>
      <c r="D183" s="36"/>
      <c r="E183" s="36"/>
      <c r="F183" s="37"/>
      <c r="G183" s="36"/>
      <c r="H183" s="38"/>
      <c r="I183" s="36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40" t="n">
        <f aca="false">IF(A183="",0,IF(AND(I183="Ativo",OR(H183="",H183&lt;=EOMONTH(DATE(Painel!$C$4,Painel!$C$6,1),0))),F183,0))</f>
        <v>0</v>
      </c>
      <c r="W183" s="41" t="str">
        <f aca="false">IF(OR(V183=0,G183=""),"",DATE(Painel!$C$4,Painel!$C$6,MIN(G183,DAY(EOMONTH(DATE(Painel!$C$4,Painel!$C$6,1),0)))))</f>
        <v/>
      </c>
      <c r="X183" s="41" t="str">
        <f aca="false">IF(A183="","",IF(INDEX(J183:U183,Painel!$C$6)="","",INDEX(J183:U183,Painel!$C$6)))</f>
        <v/>
      </c>
      <c r="Y183" s="42" t="str">
        <f aca="true">IF(A183="","",IF(I183&lt;&gt;"Ativo","Inativo",IF(V183=0,"Sem cobrança",IF(X183&lt;&gt;"",IF(AND(W183&lt;&gt;"",X183&gt;W183),"Pago com atraso","Pago"),IF(W183="","Sem vencimento",IF(TODAY()&gt;W183,"Em atraso","A vencer"))))))</f>
        <v/>
      </c>
      <c r="Z183" s="43" t="str">
        <f aca="true">IF(Y183="Em atraso",TODAY()-W183,"")</f>
        <v/>
      </c>
      <c r="AA183" s="42" t="str">
        <f aca="false">IF(Y183="Em atraso",COUNTIF($Y$5:Y183,"Em atraso"),"")</f>
        <v/>
      </c>
    </row>
    <row r="184" customFormat="false" ht="15" hidden="false" customHeight="false" outlineLevel="0" collapsed="false">
      <c r="A184" s="36"/>
      <c r="B184" s="36"/>
      <c r="C184" s="36"/>
      <c r="D184" s="36"/>
      <c r="E184" s="36"/>
      <c r="F184" s="37"/>
      <c r="G184" s="36"/>
      <c r="H184" s="38"/>
      <c r="I184" s="36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40" t="n">
        <f aca="false">IF(A184="",0,IF(AND(I184="Ativo",OR(H184="",H184&lt;=EOMONTH(DATE(Painel!$C$4,Painel!$C$6,1),0))),F184,0))</f>
        <v>0</v>
      </c>
      <c r="W184" s="41" t="str">
        <f aca="false">IF(OR(V184=0,G184=""),"",DATE(Painel!$C$4,Painel!$C$6,MIN(G184,DAY(EOMONTH(DATE(Painel!$C$4,Painel!$C$6,1),0)))))</f>
        <v/>
      </c>
      <c r="X184" s="41" t="str">
        <f aca="false">IF(A184="","",IF(INDEX(J184:U184,Painel!$C$6)="","",INDEX(J184:U184,Painel!$C$6)))</f>
        <v/>
      </c>
      <c r="Y184" s="42" t="str">
        <f aca="true">IF(A184="","",IF(I184&lt;&gt;"Ativo","Inativo",IF(V184=0,"Sem cobrança",IF(X184&lt;&gt;"",IF(AND(W184&lt;&gt;"",X184&gt;W184),"Pago com atraso","Pago"),IF(W184="","Sem vencimento",IF(TODAY()&gt;W184,"Em atraso","A vencer"))))))</f>
        <v/>
      </c>
      <c r="Z184" s="43" t="str">
        <f aca="true">IF(Y184="Em atraso",TODAY()-W184,"")</f>
        <v/>
      </c>
      <c r="AA184" s="42" t="str">
        <f aca="false">IF(Y184="Em atraso",COUNTIF($Y$5:Y184,"Em atraso"),"")</f>
        <v/>
      </c>
    </row>
    <row r="185" customFormat="false" ht="15" hidden="false" customHeight="false" outlineLevel="0" collapsed="false">
      <c r="A185" s="36"/>
      <c r="B185" s="36"/>
      <c r="C185" s="36"/>
      <c r="D185" s="36"/>
      <c r="E185" s="36"/>
      <c r="F185" s="37"/>
      <c r="G185" s="36"/>
      <c r="H185" s="38"/>
      <c r="I185" s="36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40" t="n">
        <f aca="false">IF(A185="",0,IF(AND(I185="Ativo",OR(H185="",H185&lt;=EOMONTH(DATE(Painel!$C$4,Painel!$C$6,1),0))),F185,0))</f>
        <v>0</v>
      </c>
      <c r="W185" s="41" t="str">
        <f aca="false">IF(OR(V185=0,G185=""),"",DATE(Painel!$C$4,Painel!$C$6,MIN(G185,DAY(EOMONTH(DATE(Painel!$C$4,Painel!$C$6,1),0)))))</f>
        <v/>
      </c>
      <c r="X185" s="41" t="str">
        <f aca="false">IF(A185="","",IF(INDEX(J185:U185,Painel!$C$6)="","",INDEX(J185:U185,Painel!$C$6)))</f>
        <v/>
      </c>
      <c r="Y185" s="42" t="str">
        <f aca="true">IF(A185="","",IF(I185&lt;&gt;"Ativo","Inativo",IF(V185=0,"Sem cobrança",IF(X185&lt;&gt;"",IF(AND(W185&lt;&gt;"",X185&gt;W185),"Pago com atraso","Pago"),IF(W185="","Sem vencimento",IF(TODAY()&gt;W185,"Em atraso","A vencer"))))))</f>
        <v/>
      </c>
      <c r="Z185" s="43" t="str">
        <f aca="true">IF(Y185="Em atraso",TODAY()-W185,"")</f>
        <v/>
      </c>
      <c r="AA185" s="42" t="str">
        <f aca="false">IF(Y185="Em atraso",COUNTIF($Y$5:Y185,"Em atraso"),"")</f>
        <v/>
      </c>
    </row>
    <row r="186" customFormat="false" ht="15" hidden="false" customHeight="false" outlineLevel="0" collapsed="false">
      <c r="A186" s="36"/>
      <c r="B186" s="36"/>
      <c r="C186" s="36"/>
      <c r="D186" s="36"/>
      <c r="E186" s="36"/>
      <c r="F186" s="37"/>
      <c r="G186" s="36"/>
      <c r="H186" s="38"/>
      <c r="I186" s="36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40" t="n">
        <f aca="false">IF(A186="",0,IF(AND(I186="Ativo",OR(H186="",H186&lt;=EOMONTH(DATE(Painel!$C$4,Painel!$C$6,1),0))),F186,0))</f>
        <v>0</v>
      </c>
      <c r="W186" s="41" t="str">
        <f aca="false">IF(OR(V186=0,G186=""),"",DATE(Painel!$C$4,Painel!$C$6,MIN(G186,DAY(EOMONTH(DATE(Painel!$C$4,Painel!$C$6,1),0)))))</f>
        <v/>
      </c>
      <c r="X186" s="41" t="str">
        <f aca="false">IF(A186="","",IF(INDEX(J186:U186,Painel!$C$6)="","",INDEX(J186:U186,Painel!$C$6)))</f>
        <v/>
      </c>
      <c r="Y186" s="42" t="str">
        <f aca="true">IF(A186="","",IF(I186&lt;&gt;"Ativo","Inativo",IF(V186=0,"Sem cobrança",IF(X186&lt;&gt;"",IF(AND(W186&lt;&gt;"",X186&gt;W186),"Pago com atraso","Pago"),IF(W186="","Sem vencimento",IF(TODAY()&gt;W186,"Em atraso","A vencer"))))))</f>
        <v/>
      </c>
      <c r="Z186" s="43" t="str">
        <f aca="true">IF(Y186="Em atraso",TODAY()-W186,"")</f>
        <v/>
      </c>
      <c r="AA186" s="42" t="str">
        <f aca="false">IF(Y186="Em atraso",COUNTIF($Y$5:Y186,"Em atraso"),"")</f>
        <v/>
      </c>
    </row>
    <row r="187" customFormat="false" ht="15" hidden="false" customHeight="false" outlineLevel="0" collapsed="false">
      <c r="A187" s="36"/>
      <c r="B187" s="36"/>
      <c r="C187" s="36"/>
      <c r="D187" s="36"/>
      <c r="E187" s="36"/>
      <c r="F187" s="37"/>
      <c r="G187" s="36"/>
      <c r="H187" s="38"/>
      <c r="I187" s="36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0" t="n">
        <f aca="false">IF(A187="",0,IF(AND(I187="Ativo",OR(H187="",H187&lt;=EOMONTH(DATE(Painel!$C$4,Painel!$C$6,1),0))),F187,0))</f>
        <v>0</v>
      </c>
      <c r="W187" s="41" t="str">
        <f aca="false">IF(OR(V187=0,G187=""),"",DATE(Painel!$C$4,Painel!$C$6,MIN(G187,DAY(EOMONTH(DATE(Painel!$C$4,Painel!$C$6,1),0)))))</f>
        <v/>
      </c>
      <c r="X187" s="41" t="str">
        <f aca="false">IF(A187="","",IF(INDEX(J187:U187,Painel!$C$6)="","",INDEX(J187:U187,Painel!$C$6)))</f>
        <v/>
      </c>
      <c r="Y187" s="42" t="str">
        <f aca="true">IF(A187="","",IF(I187&lt;&gt;"Ativo","Inativo",IF(V187=0,"Sem cobrança",IF(X187&lt;&gt;"",IF(AND(W187&lt;&gt;"",X187&gt;W187),"Pago com atraso","Pago"),IF(W187="","Sem vencimento",IF(TODAY()&gt;W187,"Em atraso","A vencer"))))))</f>
        <v/>
      </c>
      <c r="Z187" s="43" t="str">
        <f aca="true">IF(Y187="Em atraso",TODAY()-W187,"")</f>
        <v/>
      </c>
      <c r="AA187" s="42" t="str">
        <f aca="false">IF(Y187="Em atraso",COUNTIF($Y$5:Y187,"Em atraso"),"")</f>
        <v/>
      </c>
    </row>
    <row r="188" customFormat="false" ht="15" hidden="false" customHeight="false" outlineLevel="0" collapsed="false">
      <c r="A188" s="36"/>
      <c r="B188" s="36"/>
      <c r="C188" s="36"/>
      <c r="D188" s="36"/>
      <c r="E188" s="36"/>
      <c r="F188" s="37"/>
      <c r="G188" s="36"/>
      <c r="H188" s="38"/>
      <c r="I188" s="36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40" t="n">
        <f aca="false">IF(A188="",0,IF(AND(I188="Ativo",OR(H188="",H188&lt;=EOMONTH(DATE(Painel!$C$4,Painel!$C$6,1),0))),F188,0))</f>
        <v>0</v>
      </c>
      <c r="W188" s="41" t="str">
        <f aca="false">IF(OR(V188=0,G188=""),"",DATE(Painel!$C$4,Painel!$C$6,MIN(G188,DAY(EOMONTH(DATE(Painel!$C$4,Painel!$C$6,1),0)))))</f>
        <v/>
      </c>
      <c r="X188" s="41" t="str">
        <f aca="false">IF(A188="","",IF(INDEX(J188:U188,Painel!$C$6)="","",INDEX(J188:U188,Painel!$C$6)))</f>
        <v/>
      </c>
      <c r="Y188" s="42" t="str">
        <f aca="true">IF(A188="","",IF(I188&lt;&gt;"Ativo","Inativo",IF(V188=0,"Sem cobrança",IF(X188&lt;&gt;"",IF(AND(W188&lt;&gt;"",X188&gt;W188),"Pago com atraso","Pago"),IF(W188="","Sem vencimento",IF(TODAY()&gt;W188,"Em atraso","A vencer"))))))</f>
        <v/>
      </c>
      <c r="Z188" s="43" t="str">
        <f aca="true">IF(Y188="Em atraso",TODAY()-W188,"")</f>
        <v/>
      </c>
      <c r="AA188" s="42" t="str">
        <f aca="false">IF(Y188="Em atraso",COUNTIF($Y$5:Y188,"Em atraso"),"")</f>
        <v/>
      </c>
    </row>
    <row r="189" customFormat="false" ht="15" hidden="false" customHeight="false" outlineLevel="0" collapsed="false">
      <c r="A189" s="36"/>
      <c r="B189" s="36"/>
      <c r="C189" s="36"/>
      <c r="D189" s="36"/>
      <c r="E189" s="36"/>
      <c r="F189" s="37"/>
      <c r="G189" s="36"/>
      <c r="H189" s="38"/>
      <c r="I189" s="36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40" t="n">
        <f aca="false">IF(A189="",0,IF(AND(I189="Ativo",OR(H189="",H189&lt;=EOMONTH(DATE(Painel!$C$4,Painel!$C$6,1),0))),F189,0))</f>
        <v>0</v>
      </c>
      <c r="W189" s="41" t="str">
        <f aca="false">IF(OR(V189=0,G189=""),"",DATE(Painel!$C$4,Painel!$C$6,MIN(G189,DAY(EOMONTH(DATE(Painel!$C$4,Painel!$C$6,1),0)))))</f>
        <v/>
      </c>
      <c r="X189" s="41" t="str">
        <f aca="false">IF(A189="","",IF(INDEX(J189:U189,Painel!$C$6)="","",INDEX(J189:U189,Painel!$C$6)))</f>
        <v/>
      </c>
      <c r="Y189" s="42" t="str">
        <f aca="true">IF(A189="","",IF(I189&lt;&gt;"Ativo","Inativo",IF(V189=0,"Sem cobrança",IF(X189&lt;&gt;"",IF(AND(W189&lt;&gt;"",X189&gt;W189),"Pago com atraso","Pago"),IF(W189="","Sem vencimento",IF(TODAY()&gt;W189,"Em atraso","A vencer"))))))</f>
        <v/>
      </c>
      <c r="Z189" s="43" t="str">
        <f aca="true">IF(Y189="Em atraso",TODAY()-W189,"")</f>
        <v/>
      </c>
      <c r="AA189" s="42" t="str">
        <f aca="false">IF(Y189="Em atraso",COUNTIF($Y$5:Y189,"Em atraso"),"")</f>
        <v/>
      </c>
    </row>
    <row r="190" customFormat="false" ht="15" hidden="false" customHeight="false" outlineLevel="0" collapsed="false">
      <c r="A190" s="36"/>
      <c r="B190" s="36"/>
      <c r="C190" s="36"/>
      <c r="D190" s="36"/>
      <c r="E190" s="36"/>
      <c r="F190" s="37"/>
      <c r="G190" s="36"/>
      <c r="H190" s="38"/>
      <c r="I190" s="36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40" t="n">
        <f aca="false">IF(A190="",0,IF(AND(I190="Ativo",OR(H190="",H190&lt;=EOMONTH(DATE(Painel!$C$4,Painel!$C$6,1),0))),F190,0))</f>
        <v>0</v>
      </c>
      <c r="W190" s="41" t="str">
        <f aca="false">IF(OR(V190=0,G190=""),"",DATE(Painel!$C$4,Painel!$C$6,MIN(G190,DAY(EOMONTH(DATE(Painel!$C$4,Painel!$C$6,1),0)))))</f>
        <v/>
      </c>
      <c r="X190" s="41" t="str">
        <f aca="false">IF(A190="","",IF(INDEX(J190:U190,Painel!$C$6)="","",INDEX(J190:U190,Painel!$C$6)))</f>
        <v/>
      </c>
      <c r="Y190" s="42" t="str">
        <f aca="true">IF(A190="","",IF(I190&lt;&gt;"Ativo","Inativo",IF(V190=0,"Sem cobrança",IF(X190&lt;&gt;"",IF(AND(W190&lt;&gt;"",X190&gt;W190),"Pago com atraso","Pago"),IF(W190="","Sem vencimento",IF(TODAY()&gt;W190,"Em atraso","A vencer"))))))</f>
        <v/>
      </c>
      <c r="Z190" s="43" t="str">
        <f aca="true">IF(Y190="Em atraso",TODAY()-W190,"")</f>
        <v/>
      </c>
      <c r="AA190" s="42" t="str">
        <f aca="false">IF(Y190="Em atraso",COUNTIF($Y$5:Y190,"Em atraso"),"")</f>
        <v/>
      </c>
    </row>
    <row r="191" customFormat="false" ht="15" hidden="false" customHeight="false" outlineLevel="0" collapsed="false">
      <c r="A191" s="36"/>
      <c r="B191" s="36"/>
      <c r="C191" s="36"/>
      <c r="D191" s="36"/>
      <c r="E191" s="36"/>
      <c r="F191" s="37"/>
      <c r="G191" s="36"/>
      <c r="H191" s="38"/>
      <c r="I191" s="36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40" t="n">
        <f aca="false">IF(A191="",0,IF(AND(I191="Ativo",OR(H191="",H191&lt;=EOMONTH(DATE(Painel!$C$4,Painel!$C$6,1),0))),F191,0))</f>
        <v>0</v>
      </c>
      <c r="W191" s="41" t="str">
        <f aca="false">IF(OR(V191=0,G191=""),"",DATE(Painel!$C$4,Painel!$C$6,MIN(G191,DAY(EOMONTH(DATE(Painel!$C$4,Painel!$C$6,1),0)))))</f>
        <v/>
      </c>
      <c r="X191" s="41" t="str">
        <f aca="false">IF(A191="","",IF(INDEX(J191:U191,Painel!$C$6)="","",INDEX(J191:U191,Painel!$C$6)))</f>
        <v/>
      </c>
      <c r="Y191" s="42" t="str">
        <f aca="true">IF(A191="","",IF(I191&lt;&gt;"Ativo","Inativo",IF(V191=0,"Sem cobrança",IF(X191&lt;&gt;"",IF(AND(W191&lt;&gt;"",X191&gt;W191),"Pago com atraso","Pago"),IF(W191="","Sem vencimento",IF(TODAY()&gt;W191,"Em atraso","A vencer"))))))</f>
        <v/>
      </c>
      <c r="Z191" s="43" t="str">
        <f aca="true">IF(Y191="Em atraso",TODAY()-W191,"")</f>
        <v/>
      </c>
      <c r="AA191" s="42" t="str">
        <f aca="false">IF(Y191="Em atraso",COUNTIF($Y$5:Y191,"Em atraso"),"")</f>
        <v/>
      </c>
    </row>
    <row r="192" customFormat="false" ht="15" hidden="false" customHeight="false" outlineLevel="0" collapsed="false">
      <c r="A192" s="36"/>
      <c r="B192" s="36"/>
      <c r="C192" s="36"/>
      <c r="D192" s="36"/>
      <c r="E192" s="36"/>
      <c r="F192" s="37"/>
      <c r="G192" s="36"/>
      <c r="H192" s="38"/>
      <c r="I192" s="36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0" t="n">
        <f aca="false">IF(A192="",0,IF(AND(I192="Ativo",OR(H192="",H192&lt;=EOMONTH(DATE(Painel!$C$4,Painel!$C$6,1),0))),F192,0))</f>
        <v>0</v>
      </c>
      <c r="W192" s="41" t="str">
        <f aca="false">IF(OR(V192=0,G192=""),"",DATE(Painel!$C$4,Painel!$C$6,MIN(G192,DAY(EOMONTH(DATE(Painel!$C$4,Painel!$C$6,1),0)))))</f>
        <v/>
      </c>
      <c r="X192" s="41" t="str">
        <f aca="false">IF(A192="","",IF(INDEX(J192:U192,Painel!$C$6)="","",INDEX(J192:U192,Painel!$C$6)))</f>
        <v/>
      </c>
      <c r="Y192" s="42" t="str">
        <f aca="true">IF(A192="","",IF(I192&lt;&gt;"Ativo","Inativo",IF(V192=0,"Sem cobrança",IF(X192&lt;&gt;"",IF(AND(W192&lt;&gt;"",X192&gt;W192),"Pago com atraso","Pago"),IF(W192="","Sem vencimento",IF(TODAY()&gt;W192,"Em atraso","A vencer"))))))</f>
        <v/>
      </c>
      <c r="Z192" s="43" t="str">
        <f aca="true">IF(Y192="Em atraso",TODAY()-W192,"")</f>
        <v/>
      </c>
      <c r="AA192" s="42" t="str">
        <f aca="false">IF(Y192="Em atraso",COUNTIF($Y$5:Y192,"Em atraso"),"")</f>
        <v/>
      </c>
    </row>
    <row r="193" customFormat="false" ht="15" hidden="false" customHeight="false" outlineLevel="0" collapsed="false">
      <c r="A193" s="36"/>
      <c r="B193" s="36"/>
      <c r="C193" s="36"/>
      <c r="D193" s="36"/>
      <c r="E193" s="36"/>
      <c r="F193" s="37"/>
      <c r="G193" s="36"/>
      <c r="H193" s="38"/>
      <c r="I193" s="36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40" t="n">
        <f aca="false">IF(A193="",0,IF(AND(I193="Ativo",OR(H193="",H193&lt;=EOMONTH(DATE(Painel!$C$4,Painel!$C$6,1),0))),F193,0))</f>
        <v>0</v>
      </c>
      <c r="W193" s="41" t="str">
        <f aca="false">IF(OR(V193=0,G193=""),"",DATE(Painel!$C$4,Painel!$C$6,MIN(G193,DAY(EOMONTH(DATE(Painel!$C$4,Painel!$C$6,1),0)))))</f>
        <v/>
      </c>
      <c r="X193" s="41" t="str">
        <f aca="false">IF(A193="","",IF(INDEX(J193:U193,Painel!$C$6)="","",INDEX(J193:U193,Painel!$C$6)))</f>
        <v/>
      </c>
      <c r="Y193" s="42" t="str">
        <f aca="true">IF(A193="","",IF(I193&lt;&gt;"Ativo","Inativo",IF(V193=0,"Sem cobrança",IF(X193&lt;&gt;"",IF(AND(W193&lt;&gt;"",X193&gt;W193),"Pago com atraso","Pago"),IF(W193="","Sem vencimento",IF(TODAY()&gt;W193,"Em atraso","A vencer"))))))</f>
        <v/>
      </c>
      <c r="Z193" s="43" t="str">
        <f aca="true">IF(Y193="Em atraso",TODAY()-W193,"")</f>
        <v/>
      </c>
      <c r="AA193" s="42" t="str">
        <f aca="false">IF(Y193="Em atraso",COUNTIF($Y$5:Y193,"Em atraso"),"")</f>
        <v/>
      </c>
    </row>
    <row r="194" customFormat="false" ht="15" hidden="false" customHeight="false" outlineLevel="0" collapsed="false">
      <c r="A194" s="36"/>
      <c r="B194" s="36"/>
      <c r="C194" s="36"/>
      <c r="D194" s="36"/>
      <c r="E194" s="36"/>
      <c r="F194" s="37"/>
      <c r="G194" s="36"/>
      <c r="H194" s="38"/>
      <c r="I194" s="36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40" t="n">
        <f aca="false">IF(A194="",0,IF(AND(I194="Ativo",OR(H194="",H194&lt;=EOMONTH(DATE(Painel!$C$4,Painel!$C$6,1),0))),F194,0))</f>
        <v>0</v>
      </c>
      <c r="W194" s="41" t="str">
        <f aca="false">IF(OR(V194=0,G194=""),"",DATE(Painel!$C$4,Painel!$C$6,MIN(G194,DAY(EOMONTH(DATE(Painel!$C$4,Painel!$C$6,1),0)))))</f>
        <v/>
      </c>
      <c r="X194" s="41" t="str">
        <f aca="false">IF(A194="","",IF(INDEX(J194:U194,Painel!$C$6)="","",INDEX(J194:U194,Painel!$C$6)))</f>
        <v/>
      </c>
      <c r="Y194" s="42" t="str">
        <f aca="true">IF(A194="","",IF(I194&lt;&gt;"Ativo","Inativo",IF(V194=0,"Sem cobrança",IF(X194&lt;&gt;"",IF(AND(W194&lt;&gt;"",X194&gt;W194),"Pago com atraso","Pago"),IF(W194="","Sem vencimento",IF(TODAY()&gt;W194,"Em atraso","A vencer"))))))</f>
        <v/>
      </c>
      <c r="Z194" s="43" t="str">
        <f aca="true">IF(Y194="Em atraso",TODAY()-W194,"")</f>
        <v/>
      </c>
      <c r="AA194" s="42" t="str">
        <f aca="false">IF(Y194="Em atraso",COUNTIF($Y$5:Y194,"Em atraso"),"")</f>
        <v/>
      </c>
    </row>
    <row r="195" customFormat="false" ht="15" hidden="false" customHeight="false" outlineLevel="0" collapsed="false">
      <c r="A195" s="36"/>
      <c r="B195" s="36"/>
      <c r="C195" s="36"/>
      <c r="D195" s="36"/>
      <c r="E195" s="36"/>
      <c r="F195" s="37"/>
      <c r="G195" s="36"/>
      <c r="H195" s="38"/>
      <c r="I195" s="36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40" t="n">
        <f aca="false">IF(A195="",0,IF(AND(I195="Ativo",OR(H195="",H195&lt;=EOMONTH(DATE(Painel!$C$4,Painel!$C$6,1),0))),F195,0))</f>
        <v>0</v>
      </c>
      <c r="W195" s="41" t="str">
        <f aca="false">IF(OR(V195=0,G195=""),"",DATE(Painel!$C$4,Painel!$C$6,MIN(G195,DAY(EOMONTH(DATE(Painel!$C$4,Painel!$C$6,1),0)))))</f>
        <v/>
      </c>
      <c r="X195" s="41" t="str">
        <f aca="false">IF(A195="","",IF(INDEX(J195:U195,Painel!$C$6)="","",INDEX(J195:U195,Painel!$C$6)))</f>
        <v/>
      </c>
      <c r="Y195" s="42" t="str">
        <f aca="true">IF(A195="","",IF(I195&lt;&gt;"Ativo","Inativo",IF(V195=0,"Sem cobrança",IF(X195&lt;&gt;"",IF(AND(W195&lt;&gt;"",X195&gt;W195),"Pago com atraso","Pago"),IF(W195="","Sem vencimento",IF(TODAY()&gt;W195,"Em atraso","A vencer"))))))</f>
        <v/>
      </c>
      <c r="Z195" s="43" t="str">
        <f aca="true">IF(Y195="Em atraso",TODAY()-W195,"")</f>
        <v/>
      </c>
      <c r="AA195" s="42" t="str">
        <f aca="false">IF(Y195="Em atraso",COUNTIF($Y$5:Y195,"Em atraso"),"")</f>
        <v/>
      </c>
    </row>
    <row r="196" customFormat="false" ht="15" hidden="false" customHeight="false" outlineLevel="0" collapsed="false">
      <c r="A196" s="36"/>
      <c r="B196" s="36"/>
      <c r="C196" s="36"/>
      <c r="D196" s="36"/>
      <c r="E196" s="36"/>
      <c r="F196" s="37"/>
      <c r="G196" s="36"/>
      <c r="H196" s="38"/>
      <c r="I196" s="36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40" t="n">
        <f aca="false">IF(A196="",0,IF(AND(I196="Ativo",OR(H196="",H196&lt;=EOMONTH(DATE(Painel!$C$4,Painel!$C$6,1),0))),F196,0))</f>
        <v>0</v>
      </c>
      <c r="W196" s="41" t="str">
        <f aca="false">IF(OR(V196=0,G196=""),"",DATE(Painel!$C$4,Painel!$C$6,MIN(G196,DAY(EOMONTH(DATE(Painel!$C$4,Painel!$C$6,1),0)))))</f>
        <v/>
      </c>
      <c r="X196" s="41" t="str">
        <f aca="false">IF(A196="","",IF(INDEX(J196:U196,Painel!$C$6)="","",INDEX(J196:U196,Painel!$C$6)))</f>
        <v/>
      </c>
      <c r="Y196" s="42" t="str">
        <f aca="true">IF(A196="","",IF(I196&lt;&gt;"Ativo","Inativo",IF(V196=0,"Sem cobrança",IF(X196&lt;&gt;"",IF(AND(W196&lt;&gt;"",X196&gt;W196),"Pago com atraso","Pago"),IF(W196="","Sem vencimento",IF(TODAY()&gt;W196,"Em atraso","A vencer"))))))</f>
        <v/>
      </c>
      <c r="Z196" s="43" t="str">
        <f aca="true">IF(Y196="Em atraso",TODAY()-W196,"")</f>
        <v/>
      </c>
      <c r="AA196" s="42" t="str">
        <f aca="false">IF(Y196="Em atraso",COUNTIF($Y$5:Y196,"Em atraso"),"")</f>
        <v/>
      </c>
    </row>
    <row r="197" customFormat="false" ht="15" hidden="false" customHeight="false" outlineLevel="0" collapsed="false">
      <c r="A197" s="36"/>
      <c r="B197" s="36"/>
      <c r="C197" s="36"/>
      <c r="D197" s="36"/>
      <c r="E197" s="36"/>
      <c r="F197" s="37"/>
      <c r="G197" s="36"/>
      <c r="H197" s="38"/>
      <c r="I197" s="36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0" t="n">
        <f aca="false">IF(A197="",0,IF(AND(I197="Ativo",OR(H197="",H197&lt;=EOMONTH(DATE(Painel!$C$4,Painel!$C$6,1),0))),F197,0))</f>
        <v>0</v>
      </c>
      <c r="W197" s="41" t="str">
        <f aca="false">IF(OR(V197=0,G197=""),"",DATE(Painel!$C$4,Painel!$C$6,MIN(G197,DAY(EOMONTH(DATE(Painel!$C$4,Painel!$C$6,1),0)))))</f>
        <v/>
      </c>
      <c r="X197" s="41" t="str">
        <f aca="false">IF(A197="","",IF(INDEX(J197:U197,Painel!$C$6)="","",INDEX(J197:U197,Painel!$C$6)))</f>
        <v/>
      </c>
      <c r="Y197" s="42" t="str">
        <f aca="true">IF(A197="","",IF(I197&lt;&gt;"Ativo","Inativo",IF(V197=0,"Sem cobrança",IF(X197&lt;&gt;"",IF(AND(W197&lt;&gt;"",X197&gt;W197),"Pago com atraso","Pago"),IF(W197="","Sem vencimento",IF(TODAY()&gt;W197,"Em atraso","A vencer"))))))</f>
        <v/>
      </c>
      <c r="Z197" s="43" t="str">
        <f aca="true">IF(Y197="Em atraso",TODAY()-W197,"")</f>
        <v/>
      </c>
      <c r="AA197" s="42" t="str">
        <f aca="false">IF(Y197="Em atraso",COUNTIF($Y$5:Y197,"Em atraso"),"")</f>
        <v/>
      </c>
    </row>
    <row r="198" customFormat="false" ht="15" hidden="false" customHeight="false" outlineLevel="0" collapsed="false">
      <c r="A198" s="36"/>
      <c r="B198" s="36"/>
      <c r="C198" s="36"/>
      <c r="D198" s="36"/>
      <c r="E198" s="36"/>
      <c r="F198" s="37"/>
      <c r="G198" s="36"/>
      <c r="H198" s="38"/>
      <c r="I198" s="36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40" t="n">
        <f aca="false">IF(A198="",0,IF(AND(I198="Ativo",OR(H198="",H198&lt;=EOMONTH(DATE(Painel!$C$4,Painel!$C$6,1),0))),F198,0))</f>
        <v>0</v>
      </c>
      <c r="W198" s="41" t="str">
        <f aca="false">IF(OR(V198=0,G198=""),"",DATE(Painel!$C$4,Painel!$C$6,MIN(G198,DAY(EOMONTH(DATE(Painel!$C$4,Painel!$C$6,1),0)))))</f>
        <v/>
      </c>
      <c r="X198" s="41" t="str">
        <f aca="false">IF(A198="","",IF(INDEX(J198:U198,Painel!$C$6)="","",INDEX(J198:U198,Painel!$C$6)))</f>
        <v/>
      </c>
      <c r="Y198" s="42" t="str">
        <f aca="true">IF(A198="","",IF(I198&lt;&gt;"Ativo","Inativo",IF(V198=0,"Sem cobrança",IF(X198&lt;&gt;"",IF(AND(W198&lt;&gt;"",X198&gt;W198),"Pago com atraso","Pago"),IF(W198="","Sem vencimento",IF(TODAY()&gt;W198,"Em atraso","A vencer"))))))</f>
        <v/>
      </c>
      <c r="Z198" s="43" t="str">
        <f aca="true">IF(Y198="Em atraso",TODAY()-W198,"")</f>
        <v/>
      </c>
      <c r="AA198" s="42" t="str">
        <f aca="false">IF(Y198="Em atraso",COUNTIF($Y$5:Y198,"Em atraso"),"")</f>
        <v/>
      </c>
    </row>
    <row r="199" customFormat="false" ht="15" hidden="false" customHeight="false" outlineLevel="0" collapsed="false">
      <c r="A199" s="36"/>
      <c r="B199" s="36"/>
      <c r="C199" s="36"/>
      <c r="D199" s="36"/>
      <c r="E199" s="36"/>
      <c r="F199" s="37"/>
      <c r="G199" s="36"/>
      <c r="H199" s="38"/>
      <c r="I199" s="36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40" t="n">
        <f aca="false">IF(A199="",0,IF(AND(I199="Ativo",OR(H199="",H199&lt;=EOMONTH(DATE(Painel!$C$4,Painel!$C$6,1),0))),F199,0))</f>
        <v>0</v>
      </c>
      <c r="W199" s="41" t="str">
        <f aca="false">IF(OR(V199=0,G199=""),"",DATE(Painel!$C$4,Painel!$C$6,MIN(G199,DAY(EOMONTH(DATE(Painel!$C$4,Painel!$C$6,1),0)))))</f>
        <v/>
      </c>
      <c r="X199" s="41" t="str">
        <f aca="false">IF(A199="","",IF(INDEX(J199:U199,Painel!$C$6)="","",INDEX(J199:U199,Painel!$C$6)))</f>
        <v/>
      </c>
      <c r="Y199" s="42" t="str">
        <f aca="true">IF(A199="","",IF(I199&lt;&gt;"Ativo","Inativo",IF(V199=0,"Sem cobrança",IF(X199&lt;&gt;"",IF(AND(W199&lt;&gt;"",X199&gt;W199),"Pago com atraso","Pago"),IF(W199="","Sem vencimento",IF(TODAY()&gt;W199,"Em atraso","A vencer"))))))</f>
        <v/>
      </c>
      <c r="Z199" s="43" t="str">
        <f aca="true">IF(Y199="Em atraso",TODAY()-W199,"")</f>
        <v/>
      </c>
      <c r="AA199" s="42" t="str">
        <f aca="false">IF(Y199="Em atraso",COUNTIF($Y$5:Y199,"Em atraso"),"")</f>
        <v/>
      </c>
    </row>
    <row r="200" customFormat="false" ht="15" hidden="false" customHeight="false" outlineLevel="0" collapsed="false">
      <c r="A200" s="36"/>
      <c r="B200" s="36"/>
      <c r="C200" s="36"/>
      <c r="D200" s="36"/>
      <c r="E200" s="36"/>
      <c r="F200" s="37"/>
      <c r="G200" s="36"/>
      <c r="H200" s="38"/>
      <c r="I200" s="36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40" t="n">
        <f aca="false">IF(A200="",0,IF(AND(I200="Ativo",OR(H200="",H200&lt;=EOMONTH(DATE(Painel!$C$4,Painel!$C$6,1),0))),F200,0))</f>
        <v>0</v>
      </c>
      <c r="W200" s="41" t="str">
        <f aca="false">IF(OR(V200=0,G200=""),"",DATE(Painel!$C$4,Painel!$C$6,MIN(G200,DAY(EOMONTH(DATE(Painel!$C$4,Painel!$C$6,1),0)))))</f>
        <v/>
      </c>
      <c r="X200" s="41" t="str">
        <f aca="false">IF(A200="","",IF(INDEX(J200:U200,Painel!$C$6)="","",INDEX(J200:U200,Painel!$C$6)))</f>
        <v/>
      </c>
      <c r="Y200" s="42" t="str">
        <f aca="true">IF(A200="","",IF(I200&lt;&gt;"Ativo","Inativo",IF(V200=0,"Sem cobrança",IF(X200&lt;&gt;"",IF(AND(W200&lt;&gt;"",X200&gt;W200),"Pago com atraso","Pago"),IF(W200="","Sem vencimento",IF(TODAY()&gt;W200,"Em atraso","A vencer"))))))</f>
        <v/>
      </c>
      <c r="Z200" s="43" t="str">
        <f aca="true">IF(Y200="Em atraso",TODAY()-W200,"")</f>
        <v/>
      </c>
      <c r="AA200" s="42" t="str">
        <f aca="false">IF(Y200="Em atraso",COUNTIF($Y$5:Y200,"Em atraso"),"")</f>
        <v/>
      </c>
    </row>
    <row r="201" customFormat="false" ht="15" hidden="false" customHeight="false" outlineLevel="0" collapsed="false">
      <c r="A201" s="36"/>
      <c r="B201" s="36"/>
      <c r="C201" s="36"/>
      <c r="D201" s="36"/>
      <c r="E201" s="36"/>
      <c r="F201" s="37"/>
      <c r="G201" s="36"/>
      <c r="H201" s="38"/>
      <c r="I201" s="36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40" t="n">
        <f aca="false">IF(A201="",0,IF(AND(I201="Ativo",OR(H201="",H201&lt;=EOMONTH(DATE(Painel!$C$4,Painel!$C$6,1),0))),F201,0))</f>
        <v>0</v>
      </c>
      <c r="W201" s="41" t="str">
        <f aca="false">IF(OR(V201=0,G201=""),"",DATE(Painel!$C$4,Painel!$C$6,MIN(G201,DAY(EOMONTH(DATE(Painel!$C$4,Painel!$C$6,1),0)))))</f>
        <v/>
      </c>
      <c r="X201" s="41" t="str">
        <f aca="false">IF(A201="","",IF(INDEX(J201:U201,Painel!$C$6)="","",INDEX(J201:U201,Painel!$C$6)))</f>
        <v/>
      </c>
      <c r="Y201" s="42" t="str">
        <f aca="true">IF(A201="","",IF(I201&lt;&gt;"Ativo","Inativo",IF(V201=0,"Sem cobrança",IF(X201&lt;&gt;"",IF(AND(W201&lt;&gt;"",X201&gt;W201),"Pago com atraso","Pago"),IF(W201="","Sem vencimento",IF(TODAY()&gt;W201,"Em atraso","A vencer"))))))</f>
        <v/>
      </c>
      <c r="Z201" s="43" t="str">
        <f aca="true">IF(Y201="Em atraso",TODAY()-W201,"")</f>
        <v/>
      </c>
      <c r="AA201" s="42" t="str">
        <f aca="false">IF(Y201="Em atraso",COUNTIF($Y$5:Y201,"Em atraso"),"")</f>
        <v/>
      </c>
    </row>
    <row r="202" customFormat="false" ht="15" hidden="false" customHeight="false" outlineLevel="0" collapsed="false">
      <c r="A202" s="36"/>
      <c r="B202" s="36"/>
      <c r="C202" s="36"/>
      <c r="D202" s="36"/>
      <c r="E202" s="36"/>
      <c r="F202" s="37"/>
      <c r="G202" s="36"/>
      <c r="H202" s="38"/>
      <c r="I202" s="36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40" t="n">
        <f aca="false">IF(A202="",0,IF(AND(I202="Ativo",OR(H202="",H202&lt;=EOMONTH(DATE(Painel!$C$4,Painel!$C$6,1),0))),F202,0))</f>
        <v>0</v>
      </c>
      <c r="W202" s="41" t="str">
        <f aca="false">IF(OR(V202=0,G202=""),"",DATE(Painel!$C$4,Painel!$C$6,MIN(G202,DAY(EOMONTH(DATE(Painel!$C$4,Painel!$C$6,1),0)))))</f>
        <v/>
      </c>
      <c r="X202" s="41" t="str">
        <f aca="false">IF(A202="","",IF(INDEX(J202:U202,Painel!$C$6)="","",INDEX(J202:U202,Painel!$C$6)))</f>
        <v/>
      </c>
      <c r="Y202" s="42" t="str">
        <f aca="true">IF(A202="","",IF(I202&lt;&gt;"Ativo","Inativo",IF(V202=0,"Sem cobrança",IF(X202&lt;&gt;"",IF(AND(W202&lt;&gt;"",X202&gt;W202),"Pago com atraso","Pago"),IF(W202="","Sem vencimento",IF(TODAY()&gt;W202,"Em atraso","A vencer"))))))</f>
        <v/>
      </c>
      <c r="Z202" s="43" t="str">
        <f aca="true">IF(Y202="Em atraso",TODAY()-W202,"")</f>
        <v/>
      </c>
      <c r="AA202" s="42" t="str">
        <f aca="false">IF(Y202="Em atraso",COUNTIF($Y$5:Y202,"Em atraso"),"")</f>
        <v/>
      </c>
    </row>
    <row r="203" customFormat="false" ht="15" hidden="false" customHeight="false" outlineLevel="0" collapsed="false">
      <c r="A203" s="36"/>
      <c r="B203" s="36"/>
      <c r="C203" s="36"/>
      <c r="D203" s="36"/>
      <c r="E203" s="36"/>
      <c r="F203" s="37"/>
      <c r="G203" s="36"/>
      <c r="H203" s="38"/>
      <c r="I203" s="36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40" t="n">
        <f aca="false">IF(A203="",0,IF(AND(I203="Ativo",OR(H203="",H203&lt;=EOMONTH(DATE(Painel!$C$4,Painel!$C$6,1),0))),F203,0))</f>
        <v>0</v>
      </c>
      <c r="W203" s="41" t="str">
        <f aca="false">IF(OR(V203=0,G203=""),"",DATE(Painel!$C$4,Painel!$C$6,MIN(G203,DAY(EOMONTH(DATE(Painel!$C$4,Painel!$C$6,1),0)))))</f>
        <v/>
      </c>
      <c r="X203" s="41" t="str">
        <f aca="false">IF(A203="","",IF(INDEX(J203:U203,Painel!$C$6)="","",INDEX(J203:U203,Painel!$C$6)))</f>
        <v/>
      </c>
      <c r="Y203" s="42" t="str">
        <f aca="true">IF(A203="","",IF(I203&lt;&gt;"Ativo","Inativo",IF(V203=0,"Sem cobrança",IF(X203&lt;&gt;"",IF(AND(W203&lt;&gt;"",X203&gt;W203),"Pago com atraso","Pago"),IF(W203="","Sem vencimento",IF(TODAY()&gt;W203,"Em atraso","A vencer"))))))</f>
        <v/>
      </c>
      <c r="Z203" s="43" t="str">
        <f aca="true">IF(Y203="Em atraso",TODAY()-W203,"")</f>
        <v/>
      </c>
      <c r="AA203" s="42" t="str">
        <f aca="false">IF(Y203="Em atraso",COUNTIF($Y$5:Y203,"Em atraso"),"")</f>
        <v/>
      </c>
    </row>
    <row r="204" customFormat="false" ht="15" hidden="false" customHeight="false" outlineLevel="0" collapsed="false">
      <c r="A204" s="36"/>
      <c r="B204" s="36"/>
      <c r="C204" s="36"/>
      <c r="D204" s="36"/>
      <c r="E204" s="36"/>
      <c r="F204" s="37"/>
      <c r="G204" s="36"/>
      <c r="H204" s="38"/>
      <c r="I204" s="36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40" t="n">
        <f aca="false">IF(A204="",0,IF(AND(I204="Ativo",OR(H204="",H204&lt;=EOMONTH(DATE(Painel!$C$4,Painel!$C$6,1),0))),F204,0))</f>
        <v>0</v>
      </c>
      <c r="W204" s="41" t="str">
        <f aca="false">IF(OR(V204=0,G204=""),"",DATE(Painel!$C$4,Painel!$C$6,MIN(G204,DAY(EOMONTH(DATE(Painel!$C$4,Painel!$C$6,1),0)))))</f>
        <v/>
      </c>
      <c r="X204" s="41" t="str">
        <f aca="false">IF(A204="","",IF(INDEX(J204:U204,Painel!$C$6)="","",INDEX(J204:U204,Painel!$C$6)))</f>
        <v/>
      </c>
      <c r="Y204" s="42" t="str">
        <f aca="true">IF(A204="","",IF(I204&lt;&gt;"Ativo","Inativo",IF(V204=0,"Sem cobrança",IF(X204&lt;&gt;"",IF(AND(W204&lt;&gt;"",X204&gt;W204),"Pago com atraso","Pago"),IF(W204="","Sem vencimento",IF(TODAY()&gt;W204,"Em atraso","A vencer"))))))</f>
        <v/>
      </c>
      <c r="Z204" s="43" t="str">
        <f aca="true">IF(Y204="Em atraso",TODAY()-W204,"")</f>
        <v/>
      </c>
      <c r="AA204" s="42" t="str">
        <f aca="false">IF(Y204="Em atraso",COUNTIF($Y$5:Y204,"Em atraso"),"")</f>
        <v/>
      </c>
    </row>
  </sheetData>
  <conditionalFormatting sqref="J5:U204">
    <cfRule type="expression" priority="2" aboveAverage="0" equalAverage="0" bottom="0" percent="0" rank="0" text="" dxfId="1">
      <formula>AND(J5&lt;&gt;"",$G5&lt;&gt;"",J5&gt;DATE(Painel!$C$4,COLUMN(J5)-9,MIN($G5,DAY(EOMONTH(DATE(Painel!$C$4,COLUMN(J5)-9,1),0)))))</formula>
    </cfRule>
    <cfRule type="expression" priority="3" aboveAverage="0" equalAverage="0" bottom="0" percent="0" rank="0" text="" dxfId="2">
      <formula>J5&lt;&gt;""</formula>
    </cfRule>
    <cfRule type="expression" priority="4" aboveAverage="0" equalAverage="0" bottom="0" percent="0" rank="0" text="" dxfId="3">
      <formula>AND($A5&lt;&gt;"",$I5="Ativo",$G5&lt;&gt;"",OR($H5="",$H5&lt;=EOMONTH(DATE(Painel!$C$4,COLUMN(J5)-9,1),0)),TODAY()&gt;DATE(Painel!$C$4,COLUMN(J5)-9,MIN($G5,DAY(EOMONTH(DATE(Painel!$C$4,COLUMN(J5)-9,1),0)))))</formula>
    </cfRule>
  </conditionalFormatting>
  <conditionalFormatting sqref="Y5:Y204">
    <cfRule type="expression" priority="5" aboveAverage="0" equalAverage="0" bottom="0" percent="0" rank="0" text="" dxfId="4">
      <formula>$Y5="Em atraso"</formula>
    </cfRule>
    <cfRule type="expression" priority="6" aboveAverage="0" equalAverage="0" bottom="0" percent="0" rank="0" text="" dxfId="5">
      <formula>$Y5="Pago com atraso"</formula>
    </cfRule>
    <cfRule type="expression" priority="7" aboveAverage="0" equalAverage="0" bottom="0" percent="0" rank="0" text="" dxfId="6">
      <formula>$Y5="Pago"</formula>
    </cfRule>
    <cfRule type="expression" priority="8" aboveAverage="0" equalAverage="0" bottom="0" percent="0" rank="0" text="" dxfId="7">
      <formula>$Y5="A vencer"</formula>
    </cfRule>
  </conditionalFormatting>
  <dataValidations count="4">
    <dataValidation allowBlank="true" errorStyle="stop" operator="between" showDropDown="false" showErrorMessage="false" showInputMessage="false" sqref="B5:B204" type="list">
      <formula1>Listas!$A$2:$A$11</formula1>
      <formula2>0</formula2>
    </dataValidation>
    <dataValidation allowBlank="true" errorStyle="stop" operator="between" showDropDown="false" showErrorMessage="false" showInputMessage="false" sqref="I5:I204" type="list">
      <formula1>Listas!$E$2:$E$3</formula1>
      <formula2>0</formula2>
    </dataValidation>
    <dataValidation allowBlank="true" error="Digite um dia entre 1 e 31" errorStyle="stop" errorTitle="Dia de vencimento" operator="between" showDropDown="false" showErrorMessage="false" showInputMessage="false" sqref="G5:G204" type="whole">
      <formula1>1</formula1>
      <formula2>31</formula2>
    </dataValidation>
    <dataValidation allowBlank="true" error="Digite uma data, por exemplo 05/10/2026" errorStyle="stop" errorTitle="Data de pagamento" operator="greaterThan" showDropDown="false" showErrorMessage="false" showInputMessage="false" sqref="J5:U2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2026-10-15T02:04:44Z</dcterms:created>
  <dc:creator>openpyxl</dc:creator>
  <dc:description/>
  <dc:language>en-US</dc:language>
  <cp:lastModifiedBy/>
  <dcterms:modified xsi:type="dcterms:W3CDTF">2026-10-15T02:04:44Z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